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usdol-my.sharepoint.com/personal/kim_hong_j_dol_gov/Documents/Hong Kim/EO13771 Cost Calculations/"/>
    </mc:Choice>
  </mc:AlternateContent>
  <bookViews>
    <workbookView xWindow="0" yWindow="0" windowWidth="23040" windowHeight="8256" activeTab="3"/>
  </bookViews>
  <sheets>
    <sheet name="FY2017" sheetId="6" r:id="rId1"/>
    <sheet name="FY2018" sheetId="5" r:id="rId2"/>
    <sheet name="FY2019 " sheetId="8" r:id="rId3"/>
    <sheet name="FY2020" sheetId="9" r:id="rId4"/>
    <sheet name="FY2021 " sheetId="12" r:id="rId5"/>
  </sheets>
  <calcPr calcId="162913"/>
</workbook>
</file>

<file path=xl/calcChain.xml><?xml version="1.0" encoding="utf-8"?>
<calcChain xmlns="http://schemas.openxmlformats.org/spreadsheetml/2006/main">
  <c r="H10" i="12" l="1"/>
  <c r="J12" i="9"/>
  <c r="K10" i="9"/>
  <c r="H30" i="9" l="1"/>
  <c r="I6" i="12"/>
  <c r="B22" i="12"/>
  <c r="B21" i="12"/>
  <c r="B20" i="12"/>
  <c r="B19" i="12"/>
  <c r="B18" i="12"/>
  <c r="B17" i="12"/>
  <c r="B16" i="12"/>
  <c r="B15" i="12"/>
  <c r="J23" i="9" s="1"/>
  <c r="K23" i="9" s="1"/>
  <c r="L10" i="12"/>
  <c r="J6" i="12" l="1"/>
  <c r="K6" i="12" s="1"/>
  <c r="J5" i="12"/>
  <c r="K5" i="12" s="1"/>
  <c r="J4" i="12"/>
  <c r="K4" i="12" s="1"/>
  <c r="K16" i="8"/>
  <c r="K10" i="12" l="1"/>
  <c r="J10" i="12"/>
  <c r="J24" i="9" l="1"/>
  <c r="H19" i="8" l="1"/>
  <c r="L27" i="9"/>
  <c r="H33" i="9"/>
  <c r="H34" i="9" s="1"/>
  <c r="H35" i="9" s="1"/>
  <c r="H36" i="9" s="1"/>
  <c r="B32" i="9" l="1"/>
  <c r="B33" i="9"/>
  <c r="A22" i="8"/>
  <c r="A21" i="8"/>
  <c r="J16" i="8" l="1"/>
  <c r="L16" i="8" s="1"/>
  <c r="A20" i="8" l="1"/>
  <c r="J17" i="9" l="1"/>
  <c r="K17" i="9" s="1"/>
  <c r="K11" i="9" l="1"/>
  <c r="K7" i="9"/>
  <c r="K5" i="9"/>
  <c r="I4" i="9" l="1"/>
  <c r="B37" i="9"/>
  <c r="B36" i="9"/>
  <c r="B35" i="9"/>
  <c r="B34" i="9"/>
  <c r="K7" i="8"/>
  <c r="B26" i="8"/>
  <c r="B25" i="8"/>
  <c r="J13" i="8" s="1"/>
  <c r="K13" i="8" s="1"/>
  <c r="B24" i="8"/>
  <c r="B23" i="8"/>
  <c r="J6" i="9" l="1"/>
  <c r="K6" i="9" s="1"/>
  <c r="K12" i="9"/>
  <c r="K27" i="9" s="1"/>
  <c r="K10" i="8"/>
  <c r="J11" i="8"/>
  <c r="K11" i="8" s="1"/>
  <c r="J9" i="8"/>
  <c r="K9" i="8" s="1"/>
  <c r="J15" i="8"/>
  <c r="K15" i="8" s="1"/>
  <c r="J15" i="9"/>
  <c r="K15" i="9" s="1"/>
  <c r="J4" i="9"/>
  <c r="K4" i="9" s="1"/>
  <c r="K24" i="9"/>
  <c r="J6" i="8"/>
  <c r="K6" i="8" s="1"/>
  <c r="J4" i="8"/>
  <c r="I7" i="8"/>
  <c r="J12" i="8"/>
  <c r="K12" i="8" s="1"/>
  <c r="H27" i="9" l="1"/>
  <c r="J27" i="9"/>
  <c r="H13" i="12" s="1"/>
  <c r="K4" i="8"/>
  <c r="J8" i="5"/>
  <c r="K8" i="5" s="1"/>
  <c r="K9" i="5"/>
  <c r="K5" i="5"/>
  <c r="B13" i="6"/>
  <c r="B19" i="5"/>
  <c r="J7" i="5" s="1"/>
  <c r="K7" i="5" s="1"/>
  <c r="A12" i="6"/>
  <c r="A11" i="6"/>
  <c r="J4" i="6" l="1"/>
  <c r="K4" i="6" s="1"/>
  <c r="B16" i="6"/>
  <c r="B15" i="6"/>
  <c r="B14" i="6"/>
  <c r="J9" i="6" l="1"/>
  <c r="K9" i="6"/>
  <c r="B22" i="5" l="1"/>
  <c r="B21" i="5"/>
  <c r="B20" i="5"/>
  <c r="B18" i="5"/>
  <c r="J4" i="5" l="1"/>
  <c r="J6" i="5"/>
  <c r="J12" i="5"/>
  <c r="J13" i="5"/>
  <c r="K13" i="5"/>
  <c r="K12" i="5"/>
  <c r="K4" i="5"/>
  <c r="J15" i="5" l="1"/>
  <c r="K6" i="5"/>
  <c r="K15" i="5" s="1"/>
  <c r="K16" i="5" s="1"/>
</calcChain>
</file>

<file path=xl/comments1.xml><?xml version="1.0" encoding="utf-8"?>
<comments xmlns="http://schemas.openxmlformats.org/spreadsheetml/2006/main">
  <authors>
    <author>Kim, Hong J - ASP</author>
  </authors>
  <commentList>
    <comment ref="B8" authorId="0" shapeId="0">
      <text>
        <r>
          <rPr>
            <b/>
            <sz val="9"/>
            <color indexed="81"/>
            <rFont val="Tahoma"/>
            <family val="2"/>
          </rPr>
          <t>Kim, Hong J - ASP:</t>
        </r>
        <r>
          <rPr>
            <sz val="9"/>
            <color indexed="81"/>
            <rFont val="Tahoma"/>
            <family val="2"/>
          </rPr>
          <t xml:space="preserve">
This is not a regulatory action but Reginfo included this as a dergulatory action in FY17.</t>
        </r>
      </text>
    </comment>
  </commentList>
</comments>
</file>

<file path=xl/comments2.xml><?xml version="1.0" encoding="utf-8"?>
<comments xmlns="http://schemas.openxmlformats.org/spreadsheetml/2006/main">
  <authors>
    <author>Kim, Hong J - ASP</author>
  </authors>
  <commentList>
    <comment ref="B5" authorId="0" shapeId="0">
      <text>
        <r>
          <rPr>
            <b/>
            <sz val="9"/>
            <color indexed="81"/>
            <rFont val="Tahoma"/>
            <family val="2"/>
          </rPr>
          <t>Kim, Hong J - ASP:</t>
        </r>
        <r>
          <rPr>
            <sz val="9"/>
            <color indexed="81"/>
            <rFont val="Tahoma"/>
            <family val="2"/>
          </rPr>
          <t xml:space="preserve">
This is a joint rule with IRS and HHS and Reginfo did not include this deregulatory action for DOL in FY19.</t>
        </r>
      </text>
    </comment>
    <comment ref="B8" authorId="0" shapeId="0">
      <text>
        <r>
          <rPr>
            <b/>
            <sz val="9"/>
            <color indexed="81"/>
            <rFont val="Tahoma"/>
            <family val="2"/>
          </rPr>
          <t>Kim, Hong J - ASP:</t>
        </r>
        <r>
          <rPr>
            <sz val="9"/>
            <color indexed="81"/>
            <rFont val="Tahoma"/>
            <family val="2"/>
          </rPr>
          <t xml:space="preserve">
This is a joint rule with DHS and Reginfo did not include this deregulatory action for DOL in FY19.</t>
        </r>
      </text>
    </comment>
    <comment ref="J10" authorId="0" shapeId="0">
      <text>
        <r>
          <rPr>
            <b/>
            <sz val="9"/>
            <color indexed="81"/>
            <rFont val="Tahoma"/>
            <family val="2"/>
          </rPr>
          <t>Kim, Hong J - ASP:</t>
        </r>
        <r>
          <rPr>
            <sz val="9"/>
            <color indexed="81"/>
            <rFont val="Tahoma"/>
            <family val="2"/>
          </rPr>
          <t xml:space="preserve">
This is to be consistent with FY2018 submission by Libby's request.</t>
        </r>
      </text>
    </comment>
  </commentList>
</comments>
</file>

<file path=xl/comments3.xml><?xml version="1.0" encoding="utf-8"?>
<comments xmlns="http://schemas.openxmlformats.org/spreadsheetml/2006/main">
  <authors>
    <author>Kim, Hong J - ASP</author>
  </authors>
  <commentList>
    <comment ref="B6" authorId="0" shapeId="0">
      <text>
        <r>
          <rPr>
            <b/>
            <sz val="9"/>
            <color indexed="81"/>
            <rFont val="Tahoma"/>
            <family val="2"/>
          </rPr>
          <t>Kim, Hong J - ASP:</t>
        </r>
        <r>
          <rPr>
            <sz val="9"/>
            <color indexed="81"/>
            <rFont val="Tahoma"/>
            <family val="2"/>
          </rPr>
          <t xml:space="preserve">
Add on 8/3/2020
</t>
        </r>
      </text>
    </comment>
    <comment ref="D6" authorId="0" shapeId="0">
      <text>
        <r>
          <rPr>
            <b/>
            <sz val="9"/>
            <color indexed="81"/>
            <rFont val="Tahoma"/>
            <family val="2"/>
          </rPr>
          <t>Kim, Hong J - ASP:</t>
        </r>
        <r>
          <rPr>
            <sz val="9"/>
            <color indexed="81"/>
            <rFont val="Tahoma"/>
            <family val="2"/>
          </rPr>
          <t xml:space="preserve">
This is added on July 31, 2020.</t>
        </r>
      </text>
    </comment>
    <comment ref="G8" authorId="0" shapeId="0">
      <text>
        <r>
          <rPr>
            <b/>
            <sz val="9"/>
            <color indexed="81"/>
            <rFont val="Tahoma"/>
            <family val="2"/>
          </rPr>
          <t>Kim, Hong J - ASP:</t>
        </r>
        <r>
          <rPr>
            <sz val="9"/>
            <color indexed="81"/>
            <rFont val="Tahoma"/>
            <family val="2"/>
          </rPr>
          <t xml:space="preserve">
Not Available</t>
        </r>
      </text>
    </comment>
    <comment ref="J8" authorId="0" shapeId="0">
      <text>
        <r>
          <rPr>
            <b/>
            <sz val="9"/>
            <color indexed="81"/>
            <rFont val="Tahoma"/>
            <family val="2"/>
          </rPr>
          <t>Kim, Hong J - ASP:</t>
        </r>
        <r>
          <rPr>
            <sz val="9"/>
            <color indexed="81"/>
            <rFont val="Tahoma"/>
            <family val="2"/>
          </rPr>
          <t xml:space="preserve">
Not Available</t>
        </r>
      </text>
    </comment>
    <comment ref="G9" authorId="0" shapeId="0">
      <text>
        <r>
          <rPr>
            <b/>
            <sz val="9"/>
            <color indexed="81"/>
            <rFont val="Tahoma"/>
            <family val="2"/>
          </rPr>
          <t>Kim, Hong J - ASP:</t>
        </r>
        <r>
          <rPr>
            <sz val="9"/>
            <color indexed="81"/>
            <rFont val="Tahoma"/>
            <family val="2"/>
          </rPr>
          <t xml:space="preserve">
Not available
</t>
        </r>
      </text>
    </comment>
    <comment ref="J9" authorId="0" shapeId="0">
      <text>
        <r>
          <rPr>
            <b/>
            <sz val="9"/>
            <color indexed="81"/>
            <rFont val="Tahoma"/>
            <family val="2"/>
          </rPr>
          <t>Kim, Hong J - ASP:</t>
        </r>
        <r>
          <rPr>
            <sz val="9"/>
            <color indexed="81"/>
            <rFont val="Tahoma"/>
            <family val="2"/>
          </rPr>
          <t xml:space="preserve">
Not available
</t>
        </r>
      </text>
    </comment>
    <comment ref="B10" authorId="0" shapeId="0">
      <text>
        <r>
          <rPr>
            <b/>
            <sz val="9"/>
            <color indexed="81"/>
            <rFont val="Tahoma"/>
            <family val="2"/>
          </rPr>
          <t>Kim, Hong J - ASP:</t>
        </r>
        <r>
          <rPr>
            <sz val="9"/>
            <color indexed="81"/>
            <rFont val="Tahoma"/>
            <family val="2"/>
          </rPr>
          <t xml:space="preserve">
Added 8/3/2020.
</t>
        </r>
      </text>
    </comment>
    <comment ref="B12" authorId="0" shapeId="0">
      <text>
        <r>
          <rPr>
            <b/>
            <sz val="9"/>
            <color indexed="81"/>
            <rFont val="Tahoma"/>
            <family val="2"/>
          </rPr>
          <t>Kim, Hong J - ASP:</t>
        </r>
        <r>
          <rPr>
            <sz val="9"/>
            <color indexed="81"/>
            <rFont val="Tahoma"/>
            <family val="2"/>
          </rPr>
          <t xml:space="preserve">
Added 8/3/2020.
</t>
        </r>
      </text>
    </comment>
    <comment ref="C12" authorId="0" shapeId="0">
      <text>
        <r>
          <rPr>
            <b/>
            <sz val="9"/>
            <color indexed="81"/>
            <rFont val="Tahoma"/>
            <family val="2"/>
          </rPr>
          <t>Kim, Hong J - ASP:</t>
        </r>
        <r>
          <rPr>
            <sz val="9"/>
            <color indexed="81"/>
            <rFont val="Tahoma"/>
            <family val="2"/>
          </rPr>
          <t xml:space="preserve">
This is a joint rule with ERS and HHS. The cost is $680.50 million.
</t>
        </r>
      </text>
    </comment>
    <comment ref="I12" authorId="0" shapeId="0">
      <text>
        <r>
          <rPr>
            <b/>
            <sz val="9"/>
            <color indexed="81"/>
            <rFont val="Tahoma"/>
            <family val="2"/>
          </rPr>
          <t>Kim, Hong J - ASP:</t>
        </r>
        <r>
          <rPr>
            <sz val="9"/>
            <color indexed="81"/>
            <rFont val="Tahoma"/>
            <family val="2"/>
          </rPr>
          <t xml:space="preserve">
The annual cost for the three agencies is $650.50 million per year. DOL gets 25% of it based on PRA analysis
</t>
        </r>
      </text>
    </comment>
    <comment ref="G13" authorId="0" shapeId="0">
      <text>
        <r>
          <rPr>
            <b/>
            <sz val="9"/>
            <color indexed="81"/>
            <rFont val="Tahoma"/>
            <family val="2"/>
          </rPr>
          <t>Kim, Hong J - ASP:</t>
        </r>
        <r>
          <rPr>
            <sz val="9"/>
            <color indexed="81"/>
            <rFont val="Tahoma"/>
            <family val="2"/>
          </rPr>
          <t xml:space="preserve">
Not available
</t>
        </r>
      </text>
    </comment>
    <comment ref="J13" authorId="0" shapeId="0">
      <text>
        <r>
          <rPr>
            <b/>
            <sz val="9"/>
            <color indexed="81"/>
            <rFont val="Tahoma"/>
            <family val="2"/>
          </rPr>
          <t>Kim, Hong J - ASP:</t>
        </r>
        <r>
          <rPr>
            <sz val="9"/>
            <color indexed="81"/>
            <rFont val="Tahoma"/>
            <family val="2"/>
          </rPr>
          <t xml:space="preserve">
Not available
</t>
        </r>
      </text>
    </comment>
    <comment ref="I20" authorId="0" shapeId="0">
      <text>
        <r>
          <rPr>
            <b/>
            <sz val="9"/>
            <color indexed="81"/>
            <rFont val="Tahoma"/>
            <family val="2"/>
          </rPr>
          <t>Kim, Hong J - ASP:</t>
        </r>
        <r>
          <rPr>
            <sz val="9"/>
            <color indexed="81"/>
            <rFont val="Tahoma"/>
            <family val="2"/>
          </rPr>
          <t xml:space="preserve">
This is initially assigned $0.
</t>
        </r>
      </text>
    </comment>
    <comment ref="B23" authorId="0" shapeId="0">
      <text>
        <r>
          <rPr>
            <b/>
            <sz val="9"/>
            <color indexed="81"/>
            <rFont val="Tahoma"/>
            <family val="2"/>
          </rPr>
          <t>Kim, Hong J - ASP:</t>
        </r>
        <r>
          <rPr>
            <sz val="9"/>
            <color indexed="81"/>
            <rFont val="Tahoma"/>
            <family val="2"/>
          </rPr>
          <t xml:space="preserve">
Add on 8/3/2020
</t>
        </r>
      </text>
    </comment>
  </commentList>
</comments>
</file>

<file path=xl/sharedStrings.xml><?xml version="1.0" encoding="utf-8"?>
<sst xmlns="http://schemas.openxmlformats.org/spreadsheetml/2006/main" count="478" uniqueCount="257">
  <si>
    <t>EO13 ID</t>
  </si>
  <si>
    <t>RIN/Other ID</t>
  </si>
  <si>
    <t>Agency/SubAgency</t>
  </si>
  <si>
    <t>Title</t>
  </si>
  <si>
    <t>Designation</t>
  </si>
  <si>
    <t>Citation/ Others</t>
  </si>
  <si>
    <t>201805-1205-RZ-001</t>
  </si>
  <si>
    <t>1205-AB78</t>
  </si>
  <si>
    <t>Trade Adjustment Assistance for Workers </t>
  </si>
  <si>
    <t>Deregulatory </t>
  </si>
  <si>
    <t>Regulatory </t>
  </si>
  <si>
    <t>1205-AB85</t>
  </si>
  <si>
    <t>Apprenticeship Programs, Labor Standards for Registration, Amendment of Regulations </t>
  </si>
  <si>
    <t>1210-AB64</t>
  </si>
  <si>
    <t>201805-1210-RZ-004</t>
  </si>
  <si>
    <t>1210-AB39</t>
  </si>
  <si>
    <t>Delay or Amend Final Rule Amending Claims Procedure Regulation </t>
  </si>
  <si>
    <t>82 FR 56560</t>
  </si>
  <si>
    <t>201805-1210-RZ-005</t>
  </si>
  <si>
    <t>1210-ZA27</t>
  </si>
  <si>
    <t>82 FR 56545</t>
  </si>
  <si>
    <t>201805-1210-RZ-008</t>
  </si>
  <si>
    <t>1210-AB85</t>
  </si>
  <si>
    <t>Definition of an 'Employer' Under Section 3(5) of ERISA--Association Health Plans </t>
  </si>
  <si>
    <t>201805-1218-RZ-002</t>
  </si>
  <si>
    <t>1218-AD16</t>
  </si>
  <si>
    <t>Improve Tracking of Workplace Injuries and Illnesses </t>
  </si>
  <si>
    <t>82 FR 55761</t>
  </si>
  <si>
    <t>201805-1218-RZ-003</t>
  </si>
  <si>
    <t>1218-AC67</t>
  </si>
  <si>
    <t>201805-1218-RZ-005</t>
  </si>
  <si>
    <t>1218-AD07</t>
  </si>
  <si>
    <t>Cranes and Derricks in Construction: Exemption Expansions for Railroad Roadway Work </t>
  </si>
  <si>
    <t>201805-1218-RZ-006</t>
  </si>
  <si>
    <t>1218-AD17</t>
  </si>
  <si>
    <t>201805-1218-RZ-009</t>
  </si>
  <si>
    <t>1218-AC94</t>
  </si>
  <si>
    <t>201805-1218-RZ-010</t>
  </si>
  <si>
    <t>1218-AB76</t>
  </si>
  <si>
    <t>Occupational Exposure to Beryllium </t>
  </si>
  <si>
    <t>201805-1218-RZ-012</t>
  </si>
  <si>
    <t>1218-AD19</t>
  </si>
  <si>
    <t>Limited Extension of Select Compliance Dates for Occupational Exposure to Beryllium in General Industry </t>
  </si>
  <si>
    <t>1218-AD20</t>
  </si>
  <si>
    <t>201805-1218-RZ-015</t>
  </si>
  <si>
    <t>1218-AD22</t>
  </si>
  <si>
    <t>Cranes and Derricks in Construction: Operator Certification Extension </t>
  </si>
  <si>
    <t>201805-1219-RZ-002</t>
  </si>
  <si>
    <t>1219-AB87</t>
  </si>
  <si>
    <t>Examination of Working Places in Metal and Nonmetal Mines </t>
  </si>
  <si>
    <t>1235-AA21</t>
  </si>
  <si>
    <t>Tip Regulations Under the Fair Labor Standards Act (FLSA) </t>
  </si>
  <si>
    <t>Joint Employment Under the Fair Labor Standards Act and Migrant and Seasonal Agricultural Workers Protection Act </t>
  </si>
  <si>
    <t>1235-AA24</t>
  </si>
  <si>
    <t>201805-1245-RZ-001</t>
  </si>
  <si>
    <t>1245-AA07</t>
  </si>
  <si>
    <t>Rescission of Rule Interpreting "Advice" Exemption in Section 203(c) of the Labor-Management Reporting and Disclosure Act </t>
  </si>
  <si>
    <t>1245-AA09</t>
  </si>
  <si>
    <t>Trust Annual Reports  </t>
  </si>
  <si>
    <t>201805-1250-RZ-001</t>
  </si>
  <si>
    <t>1250-AA08</t>
  </si>
  <si>
    <t>Affirmative Action and Nondiscrimination Obligations of Federal Contractors and Subcontractors: TRICARE and Certain Other Healthcare Providers </t>
  </si>
  <si>
    <t>1205-AB91</t>
  </si>
  <si>
    <t>1205-AB89</t>
  </si>
  <si>
    <t>1235-AA27</t>
  </si>
  <si>
    <t>1235-AA26</t>
  </si>
  <si>
    <t>Exercise of Time Limited Authority to Increase the FY 18 Numerical Limitation for the H-2B Temporary Nonagricultural Worker Program</t>
  </si>
  <si>
    <t>83 FR 24905</t>
  </si>
  <si>
    <t>Total</t>
  </si>
  <si>
    <t>Labor Certification Process for Temporary Agricultural Employment in the United States (H-2A Workers)</t>
  </si>
  <si>
    <t>Exemption from Executive Order 13658 for Recreational Services on Federal Lands</t>
  </si>
  <si>
    <t>83 FR 33826</t>
  </si>
  <si>
    <t>83 FR 15055</t>
  </si>
  <si>
    <t>82 FR 51986</t>
  </si>
  <si>
    <t>83 FR 28912</t>
  </si>
  <si>
    <t>1205-AB88</t>
  </si>
  <si>
    <t>1210-AB82</t>
  </si>
  <si>
    <t>FY18</t>
  </si>
  <si>
    <t>FY19</t>
  </si>
  <si>
    <t>FY20</t>
  </si>
  <si>
    <t>83 FR 19936</t>
  </si>
  <si>
    <t>83 FR 39351</t>
  </si>
  <si>
    <t>1205-AB92</t>
  </si>
  <si>
    <t>1218-AC96</t>
  </si>
  <si>
    <t>1210-AB88</t>
  </si>
  <si>
    <t>83 FR 48537</t>
  </si>
  <si>
    <t>201807-1235-RZ-002</t>
  </si>
  <si>
    <t>ETA</t>
  </si>
  <si>
    <t>1205-AB84</t>
  </si>
  <si>
    <t>Exercise of Time-Limited Authority to Increase the Fiscal Year 2017 Numerical Limitation for the H-2B Temporary Nonagricultural Worker Program</t>
  </si>
  <si>
    <t>Publish Date</t>
  </si>
  <si>
    <t>Deregulatory</t>
  </si>
  <si>
    <t>Final action</t>
  </si>
  <si>
    <t>Temporary Final Rule</t>
  </si>
  <si>
    <t>201703-1205-RZ-001</t>
  </si>
  <si>
    <t>EBSA</t>
  </si>
  <si>
    <t>1210-AB76</t>
  </si>
  <si>
    <t>82 FR 29236</t>
  </si>
  <si>
    <t>82 FR 32987</t>
  </si>
  <si>
    <t>201703-1210-RZ-002</t>
  </si>
  <si>
    <t>Savings Arrangements Established by States and Qualified Political Subdivisions for Non-Governmental Employees</t>
  </si>
  <si>
    <t>Final Rule</t>
  </si>
  <si>
    <t>MSHA</t>
  </si>
  <si>
    <t>Clarification of Employer's Continuing Obligation to Make and Maintain Accurate Records of Each Recordable Injury and Illness</t>
  </si>
  <si>
    <t>OSHA</t>
  </si>
  <si>
    <t>1218-AC84</t>
  </si>
  <si>
    <t>82 FR 20548</t>
  </si>
  <si>
    <t>201703-1218-RZ-001</t>
  </si>
  <si>
    <t>FY17</t>
  </si>
  <si>
    <t>1210-AB79</t>
  </si>
  <si>
    <t>201703-1210-RZ-001</t>
  </si>
  <si>
    <t>Definition of the Term Fiduciary--Delay of Applicability Date</t>
  </si>
  <si>
    <t>82 FR 16902</t>
  </si>
  <si>
    <t>Reported Perpetualed Annualized Costs/Savings in million $</t>
  </si>
  <si>
    <t>Perpetualted Annualized Costs/Savings($) in millions and in 2016 $</t>
  </si>
  <si>
    <t>Present Value in millions and 2016 $</t>
  </si>
  <si>
    <t>WHD</t>
  </si>
  <si>
    <t>GDP from 2018 to 2016</t>
  </si>
  <si>
    <t>GDP from 2017 to 2016</t>
  </si>
  <si>
    <t>Final Action</t>
  </si>
  <si>
    <t>201807-1205-RZ004</t>
  </si>
  <si>
    <t xml:space="preserve"> EBSA</t>
  </si>
  <si>
    <t>18-Month Extension of Transition Period and Delay of Applicability Dates; Best Interest Contract Exemption; Class Exemption for Principal Transactions; PTE 84-24 </t>
  </si>
  <si>
    <t>Direct Final Rule</t>
  </si>
  <si>
    <t xml:space="preserve">Standards Improvement Project— Phase IV </t>
  </si>
  <si>
    <t xml:space="preserve">Exercise of Time-Limited Authority To Increase the Fiscal Year 2019 Numerical Limitation for the H–2B Temporary Nonagricultural Worker Program </t>
  </si>
  <si>
    <t>Labor Certification Process for
Temporary Employment in the
Commonwealth of the Northern
Mariana Islands (CW–1 Workers)</t>
  </si>
  <si>
    <t>Interim Final Rule</t>
  </si>
  <si>
    <t>Regulatory</t>
  </si>
  <si>
    <t xml:space="preserve">Tracking of Workplace Injuries and
Illnesses </t>
  </si>
  <si>
    <t>Cranes and Derricks in Construction: Operator Qualification</t>
  </si>
  <si>
    <t>Carryover from FY18</t>
  </si>
  <si>
    <t xml:space="preserve">Definition of ‘‘Employer’’ Under Section
3(5) of ERISA—Association Retirement
Plans and Other Multiple-Employer
Plans </t>
  </si>
  <si>
    <t>84 FR 37508</t>
  </si>
  <si>
    <t>84 FR 21416</t>
  </si>
  <si>
    <t>201907-1210-RZ-005</t>
  </si>
  <si>
    <t>1205-AB95</t>
  </si>
  <si>
    <t>84 FR 20005</t>
  </si>
  <si>
    <t>201903-1205-RZ-001</t>
  </si>
  <si>
    <t>84 FR 12415</t>
  </si>
  <si>
    <t>201808-1205-RZ-001</t>
  </si>
  <si>
    <t>84 FR 380</t>
  </si>
  <si>
    <t>H-2B Recruitment Modernization</t>
  </si>
  <si>
    <t>1205-AB98</t>
  </si>
  <si>
    <t>Removal of Welfare to Work Regulations</t>
  </si>
  <si>
    <t>Adoption of Amended and Restated Voluntary Fiduciary Correction Program</t>
  </si>
  <si>
    <t>Fiduciary Rule and Prohibited Transaction Exemptions</t>
  </si>
  <si>
    <t>1210-AB90</t>
  </si>
  <si>
    <t>Improving Effectiveness of and Reducing the Cost of Furnishing Required Notices and Disclosures</t>
  </si>
  <si>
    <t>1210-AB91</t>
  </si>
  <si>
    <t>Proxy Voting Update</t>
  </si>
  <si>
    <t>Quantitative Fit Testing Protocol: Amendment to the Final Rule on Respiratory Protection</t>
  </si>
  <si>
    <t>Regular and Basic Rates under the Fair laobr Standards Act</t>
  </si>
  <si>
    <t>1235-AA28</t>
  </si>
  <si>
    <t>Modernization of CMP Payment Methods</t>
  </si>
  <si>
    <t>1235-AA31</t>
  </si>
  <si>
    <t>Fluctuating Workweeks Under the Fair Labor Standards Act</t>
  </si>
  <si>
    <t>OLMS</t>
  </si>
  <si>
    <t>OFCCP</t>
  </si>
  <si>
    <t>1250-AA09</t>
  </si>
  <si>
    <t>Implementing Legal Requirements Regarding the Equal Opportunity Clause's Religious Exemption</t>
  </si>
  <si>
    <t xml:space="preserve"> MSHA</t>
  </si>
  <si>
    <t>201907-1205-RZ-004</t>
  </si>
  <si>
    <t>201907-1210-RZ-004</t>
  </si>
  <si>
    <t>201807-1205-RZ-001</t>
  </si>
  <si>
    <t>201807-1205-RZ-003</t>
  </si>
  <si>
    <t>201907-1210-RZ-002</t>
  </si>
  <si>
    <t>201907-1205-RZ-006</t>
  </si>
  <si>
    <t>201907-1210-RZ-001</t>
  </si>
  <si>
    <t>201907-1218-RZ-001</t>
  </si>
  <si>
    <t>201907-1235-RZ-001</t>
  </si>
  <si>
    <t>201807-1235-RZ-001</t>
  </si>
  <si>
    <t>201907-1235-RZ-005</t>
  </si>
  <si>
    <t>201903-1235-RZ-001</t>
  </si>
  <si>
    <t>201907-1235-RZ-004</t>
  </si>
  <si>
    <t>201907-1245-RZ-001</t>
  </si>
  <si>
    <t>201907-1250-RZ-001</t>
  </si>
  <si>
    <t>FY20 Projected Cost Savings in 2016 $ (in millions)</t>
  </si>
  <si>
    <t>FY 2018 Cost Savings in 2016 $ (in millions)</t>
  </si>
  <si>
    <t>83 FR 56198</t>
  </si>
  <si>
    <t>201809-1218-RZ-001</t>
  </si>
  <si>
    <t>1218-AD29</t>
  </si>
  <si>
    <t>Beryllium Construction and Shipyards</t>
  </si>
  <si>
    <t>201805-1235-RZ-001</t>
  </si>
  <si>
    <t>1235-AA20</t>
  </si>
  <si>
    <t>Defining and Delimiting the Exemptions for Executive, Administrative, Professional, Outside Sales and Computer Employees </t>
  </si>
  <si>
    <t>GDP from 2019Q1 to 2016</t>
  </si>
  <si>
    <t>1205-AB90</t>
  </si>
  <si>
    <t>ETA’s Modernizing Recruitment Requirements for the Temporary Employment of H–2A Foreign Workers in the United States</t>
  </si>
  <si>
    <t>84 FR 49439</t>
  </si>
  <si>
    <t>201807-1205-RZ-002</t>
  </si>
  <si>
    <t>Technical Amendment</t>
  </si>
  <si>
    <t>201909-1219-RZ-001</t>
  </si>
  <si>
    <t>84 FR 50739</t>
  </si>
  <si>
    <t>84 FR 51230</t>
  </si>
  <si>
    <t>84 FR 51400</t>
  </si>
  <si>
    <t>1219-AB92</t>
  </si>
  <si>
    <t>1218-AD21</t>
  </si>
  <si>
    <t>Occupational Exposure to Beryllium and Beryllium Compounds in Construction and Shipyard Sectors</t>
  </si>
  <si>
    <t>201805-1218-RZ-014</t>
  </si>
  <si>
    <t>84 FR 51380</t>
  </si>
  <si>
    <t>FY19 Cost Savings in 2016 $ (in millions)</t>
  </si>
  <si>
    <t>Carryover from FY19</t>
  </si>
  <si>
    <t>84 FR 62431</t>
  </si>
  <si>
    <t>Present Value in millions and 2019 $ (Reginfo FY19 Calculation)</t>
  </si>
  <si>
    <t>FY19 Cost-Savings Allowance</t>
  </si>
  <si>
    <t>FY20 Cost-Savings Allowance</t>
  </si>
  <si>
    <t>Reported Perpetuated Annualized Costs/Savings in million $</t>
  </si>
  <si>
    <t>Perpetuated Annualized Costs/Savings($) in millions and in 2016 $</t>
  </si>
  <si>
    <t>84 FR 68736</t>
  </si>
  <si>
    <t>85 FR 2820</t>
  </si>
  <si>
    <t>201808-1210-RZ-001</t>
  </si>
  <si>
    <t>1210-AB87</t>
  </si>
  <si>
    <t>Health Reimbursement Arrangements and Other Account-Based Group Health Plans  </t>
  </si>
  <si>
    <t>84 FR 28888</t>
  </si>
  <si>
    <t>85 FR 14294</t>
  </si>
  <si>
    <t>85 FR 13414</t>
  </si>
  <si>
    <t>1219-AA88</t>
  </si>
  <si>
    <t xml:space="preserve">Electronic Detonators </t>
  </si>
  <si>
    <t>85 FR 2022</t>
  </si>
  <si>
    <t>85 FR 31884</t>
  </si>
  <si>
    <t>85 FR 39834</t>
  </si>
  <si>
    <t>85 FR 42582</t>
  </si>
  <si>
    <t>Exposure to Beryllium to Review General Industry Provisions  </t>
  </si>
  <si>
    <t>FY 2017 Cost Savings in 2016 $ (in millions)</t>
  </si>
  <si>
    <t>NA</t>
  </si>
  <si>
    <t>1290-ZA02</t>
  </si>
  <si>
    <t>82 FR 213</t>
  </si>
  <si>
    <t>Final Guidance</t>
  </si>
  <si>
    <t>Guidance for Executive Order 13673, "Fair Pay and Safe Workplace"</t>
  </si>
  <si>
    <t>DOL</t>
  </si>
  <si>
    <t>Reginfo FY 2017 cost-savings includes 1205-AB63 which was published in 8/1/2016.</t>
  </si>
  <si>
    <t>Reginfo FY 2017 cost-savings includes 1210-AB71 which was published in 8/30/2016.</t>
  </si>
  <si>
    <t>Reginfo FY 2017 cost-savings does not include 1219-AB87 which was published in 1/23/2017.</t>
  </si>
  <si>
    <t>Reginfo FY 2019 cost-savings does not include 1205-AB95 which is multi-agency final rule with IRS and HHS.</t>
  </si>
  <si>
    <t>Reginfo FY 2019 cost-savings does not include 1210-AB85 which is multi-agency final rule with IRS and HHS.</t>
  </si>
  <si>
    <t>FY21 Projected Cost Savings in 2016 $ (in millions)</t>
  </si>
  <si>
    <t>Carryover from FY20</t>
  </si>
  <si>
    <t>GDP from 2019 to 2016</t>
  </si>
  <si>
    <t xml:space="preserve">Restructuring of H-1B/H-1B1/E-3 and PERM Wage Levels </t>
  </si>
  <si>
    <t>FY21 Cost-Savings Allowance</t>
  </si>
  <si>
    <t>in 2018$ in Reginfo site</t>
  </si>
  <si>
    <r>
      <t>Note:</t>
    </r>
    <r>
      <rPr>
        <sz val="12"/>
        <color rgb="FFFF0000"/>
        <rFont val="Calibri"/>
        <family val="2"/>
        <scheme val="minor"/>
      </rPr>
      <t xml:space="preserve"> -$7,959.3</t>
    </r>
    <r>
      <rPr>
        <sz val="12"/>
        <color theme="1"/>
        <rFont val="Calibri"/>
        <family val="2"/>
        <scheme val="minor"/>
      </rPr>
      <t xml:space="preserve"> = </t>
    </r>
    <r>
      <rPr>
        <sz val="12"/>
        <color rgb="FFFF0000"/>
        <rFont val="Calibri"/>
        <family val="2"/>
        <scheme val="minor"/>
      </rPr>
      <t>-$6.077.6</t>
    </r>
    <r>
      <rPr>
        <sz val="12"/>
        <color theme="1"/>
        <rFont val="Calibri"/>
        <family val="2"/>
        <scheme val="minor"/>
      </rPr>
      <t xml:space="preserve"> </t>
    </r>
    <r>
      <rPr>
        <sz val="12"/>
        <color theme="1"/>
        <rFont val="Calibri"/>
        <family val="2"/>
      </rPr>
      <t>× (1.07)^3 × 1.0691, where (1.07)^3  is the discount factor and 1.0691 is the inflationary adjustment from FY 2016 to FY 2019. $7,959.3 is in the Reginfo site.</t>
    </r>
  </si>
  <si>
    <t>The FY 2020 cost-savings allowance is $305 million. The present value of the cost-savings of $5,706 million (in 2019$) is calculated using $305 million FY20 cost-savings allowance.</t>
  </si>
  <si>
    <t>1205-AC00</t>
  </si>
  <si>
    <t>1210-AB20</t>
  </si>
  <si>
    <t>1210-AB93</t>
  </si>
  <si>
    <t>Transparency in Coverage</t>
  </si>
  <si>
    <t>1210-AB95</t>
  </si>
  <si>
    <t xml:space="preserve">Financial Factors in Selecting Plan Investments
 </t>
  </si>
  <si>
    <t>Regulalatory</t>
  </si>
  <si>
    <t>Final rule</t>
  </si>
  <si>
    <t>1245-AA08</t>
  </si>
  <si>
    <t xml:space="preserve">Labor Organization Annual Financial  Reports: Coverage of Intermediate Bodies
</t>
  </si>
  <si>
    <t>1218-AD31</t>
  </si>
  <si>
    <t xml:space="preserve">Occupational Exposure to Crystalline Silica: Revisions to Medical Surveillance Provisions for Medical Removal Protection </t>
  </si>
  <si>
    <t xml:space="preserve">Amendment To Advance Notice of Proposed Rulemaking for Pension Benefit Statements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</si>
</sst>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6" formatCode="&quot;$&quot;#,##0_);[Red]\(&quot;$&quot;#,##0\)"/>
    <numFmt numFmtId="8" formatCode="&quot;$&quot;#,##0.00_);[Red]\(&quot;$&quot;#,##0.00\)"/>
    <numFmt numFmtId="164" formatCode="&quot;$&quot;#,##0.00"/>
    <numFmt numFmtId="165" formatCode="&quot;$&quot;#,##0.000_);[Red]\(&quot;$&quot;#,##0.000\)"/>
    <numFmt numFmtId="166" formatCode="[$-409]d\-mmm\-yy;@"/>
    <numFmt numFmtId="167" formatCode="&quot;$&quot;#,##0.000000_);[Red]\(&quot;$&quot;#,##0.000000\)"/>
    <numFmt numFmtId="168" formatCode="&quot;$&quot;#,##0"/>
    <numFmt numFmtId="169" formatCode="#,##0.0"/>
    <numFmt numFmtId="170" formatCode="&quot;$&quot;#,##0.0_);[Red]\(&quot;$&quot;#,##0.0\)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26"/>
      <color theme="1"/>
      <name val="Calibri"/>
      <family val="2"/>
      <scheme val="minor"/>
    </font>
    <font>
      <i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2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</font>
    <font>
      <sz val="12"/>
      <color rgb="FFFF0000"/>
      <name val="Calibri"/>
      <family val="2"/>
      <scheme val="minor"/>
    </font>
    <font>
      <sz val="20"/>
      <color theme="1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rgb="FF899AB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21">
    <xf numFmtId="0" fontId="0" fillId="0" borderId="0" xfId="0"/>
    <xf numFmtId="0" fontId="0" fillId="0" borderId="0" xfId="0" applyAlignment="1">
      <alignment horizontal="center" vertical="center"/>
    </xf>
    <xf numFmtId="0" fontId="16" fillId="33" borderId="0" xfId="0" applyFont="1" applyFill="1" applyBorder="1" applyAlignment="1">
      <alignment wrapText="1"/>
    </xf>
    <xf numFmtId="0" fontId="18" fillId="34" borderId="10" xfId="0" applyFont="1" applyFill="1" applyBorder="1" applyAlignment="1">
      <alignment horizontal="center" vertical="center" wrapText="1"/>
    </xf>
    <xf numFmtId="0" fontId="0" fillId="0" borderId="10" xfId="0" applyFill="1" applyBorder="1" applyAlignment="1">
      <alignment wrapText="1"/>
    </xf>
    <xf numFmtId="164" fontId="19" fillId="0" borderId="0" xfId="0" applyNumberFormat="1" applyFont="1" applyBorder="1"/>
    <xf numFmtId="0" fontId="0" fillId="0" borderId="0" xfId="0" applyAlignment="1">
      <alignment horizontal="left"/>
    </xf>
    <xf numFmtId="0" fontId="0" fillId="0" borderId="0" xfId="0" applyAlignment="1">
      <alignment wrapText="1"/>
    </xf>
    <xf numFmtId="0" fontId="20" fillId="0" borderId="10" xfId="0" applyFont="1" applyFill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left" vertical="center" wrapText="1"/>
    </xf>
    <xf numFmtId="166" fontId="0" fillId="0" borderId="10" xfId="0" applyNumberFormat="1" applyFont="1" applyBorder="1" applyAlignment="1">
      <alignment horizontal="center" vertical="center" wrapText="1"/>
    </xf>
    <xf numFmtId="0" fontId="20" fillId="0" borderId="10" xfId="0" applyFont="1" applyFill="1" applyBorder="1" applyAlignment="1">
      <alignment horizontal="left" vertical="center" wrapText="1"/>
    </xf>
    <xf numFmtId="15" fontId="20" fillId="0" borderId="10" xfId="0" applyNumberFormat="1" applyFont="1" applyFill="1" applyBorder="1" applyAlignment="1">
      <alignment horizontal="center" vertical="center" wrapText="1"/>
    </xf>
    <xf numFmtId="8" fontId="20" fillId="0" borderId="10" xfId="0" applyNumberFormat="1" applyFont="1" applyFill="1" applyBorder="1" applyAlignment="1">
      <alignment horizontal="center" vertical="center" wrapText="1"/>
    </xf>
    <xf numFmtId="8" fontId="0" fillId="0" borderId="10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8" fontId="0" fillId="0" borderId="0" xfId="0" applyNumberFormat="1" applyAlignment="1">
      <alignment horizontal="center" vertical="center"/>
    </xf>
    <xf numFmtId="8" fontId="0" fillId="0" borderId="10" xfId="0" applyNumberFormat="1" applyBorder="1" applyAlignment="1">
      <alignment horizontal="center" vertical="center"/>
    </xf>
    <xf numFmtId="0" fontId="0" fillId="0" borderId="10" xfId="0" applyFill="1" applyBorder="1" applyAlignment="1">
      <alignment horizontal="center" vertical="center" wrapText="1"/>
    </xf>
    <xf numFmtId="0" fontId="0" fillId="0" borderId="0" xfId="0" applyFill="1" applyAlignment="1">
      <alignment wrapText="1"/>
    </xf>
    <xf numFmtId="164" fontId="24" fillId="0" borderId="0" xfId="0" applyNumberFormat="1" applyFont="1" applyAlignment="1">
      <alignment horizontal="center" vertical="center" wrapText="1"/>
    </xf>
    <xf numFmtId="0" fontId="14" fillId="0" borderId="0" xfId="0" applyFont="1" applyFill="1" applyBorder="1" applyAlignment="1">
      <alignment horizontal="left" wrapText="1"/>
    </xf>
    <xf numFmtId="0" fontId="25" fillId="0" borderId="0" xfId="0" applyFont="1" applyAlignment="1">
      <alignment horizontal="center" vertical="center" wrapText="1"/>
    </xf>
    <xf numFmtId="164" fontId="0" fillId="0" borderId="10" xfId="0" applyNumberFormat="1" applyFill="1" applyBorder="1" applyAlignment="1">
      <alignment horizontal="center" wrapText="1"/>
    </xf>
    <xf numFmtId="8" fontId="0" fillId="0" borderId="10" xfId="0" applyNumberFormat="1" applyFill="1" applyBorder="1" applyAlignment="1">
      <alignment horizontal="center" vertical="center" wrapText="1"/>
    </xf>
    <xf numFmtId="0" fontId="0" fillId="0" borderId="0" xfId="0" applyBorder="1"/>
    <xf numFmtId="0" fontId="0" fillId="0" borderId="10" xfId="0" applyFill="1" applyBorder="1" applyAlignment="1">
      <alignment horizontal="center" wrapText="1"/>
    </xf>
    <xf numFmtId="0" fontId="0" fillId="0" borderId="10" xfId="0" applyBorder="1" applyAlignment="1">
      <alignment horizontal="center"/>
    </xf>
    <xf numFmtId="0" fontId="0" fillId="35" borderId="10" xfId="0" applyFont="1" applyFill="1" applyBorder="1" applyAlignment="1">
      <alignment horizontal="center" vertical="center"/>
    </xf>
    <xf numFmtId="164" fontId="19" fillId="35" borderId="10" xfId="0" applyNumberFormat="1" applyFont="1" applyFill="1" applyBorder="1" applyAlignment="1">
      <alignment horizontal="center" vertical="center" wrapText="1"/>
    </xf>
    <xf numFmtId="15" fontId="0" fillId="0" borderId="10" xfId="0" applyNumberFormat="1" applyFill="1" applyBorder="1" applyAlignment="1">
      <alignment horizontal="center" vertical="center" wrapText="1"/>
    </xf>
    <xf numFmtId="0" fontId="16" fillId="35" borderId="11" xfId="0" applyFont="1" applyFill="1" applyBorder="1" applyAlignment="1">
      <alignment horizontal="center" vertical="center" wrapText="1"/>
    </xf>
    <xf numFmtId="164" fontId="19" fillId="35" borderId="11" xfId="0" applyNumberFormat="1" applyFont="1" applyFill="1" applyBorder="1" applyAlignment="1">
      <alignment horizontal="center" vertical="center"/>
    </xf>
    <xf numFmtId="166" fontId="0" fillId="0" borderId="10" xfId="0" applyNumberFormat="1" applyFill="1" applyBorder="1" applyAlignment="1">
      <alignment horizontal="center" vertical="center" wrapText="1"/>
    </xf>
    <xf numFmtId="6" fontId="0" fillId="0" borderId="10" xfId="0" applyNumberFormat="1" applyFill="1" applyBorder="1" applyAlignment="1">
      <alignment horizontal="center" vertical="center" wrapText="1"/>
    </xf>
    <xf numFmtId="165" fontId="0" fillId="0" borderId="10" xfId="0" applyNumberForma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16" fillId="35" borderId="10" xfId="0" applyFont="1" applyFill="1" applyBorder="1" applyAlignment="1">
      <alignment horizontal="center" vertical="center" wrapText="1"/>
    </xf>
    <xf numFmtId="164" fontId="19" fillId="35" borderId="10" xfId="0" applyNumberFormat="1" applyFont="1" applyFill="1" applyBorder="1" applyAlignment="1">
      <alignment horizontal="center" vertical="center"/>
    </xf>
    <xf numFmtId="164" fontId="19" fillId="0" borderId="0" xfId="0" applyNumberFormat="1" applyFont="1" applyFill="1" applyAlignment="1">
      <alignment horizontal="center" vertical="center"/>
    </xf>
    <xf numFmtId="14" fontId="29" fillId="0" borderId="0" xfId="0" applyNumberFormat="1" applyFont="1"/>
    <xf numFmtId="8" fontId="0" fillId="0" borderId="0" xfId="0" applyNumberFormat="1" applyAlignment="1">
      <alignment wrapText="1"/>
    </xf>
    <xf numFmtId="0" fontId="0" fillId="0" borderId="10" xfId="0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left" vertical="center" wrapText="1"/>
    </xf>
    <xf numFmtId="166" fontId="0" fillId="0" borderId="10" xfId="0" applyNumberFormat="1" applyFont="1" applyFill="1" applyBorder="1" applyAlignment="1">
      <alignment horizontal="center" vertical="center" wrapText="1"/>
    </xf>
    <xf numFmtId="8" fontId="0" fillId="0" borderId="10" xfId="0" applyNumberFormat="1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/>
    </xf>
    <xf numFmtId="8" fontId="0" fillId="0" borderId="0" xfId="0" applyNumberFormat="1"/>
    <xf numFmtId="167" fontId="0" fillId="0" borderId="10" xfId="0" applyNumberFormat="1" applyFont="1" applyBorder="1" applyAlignment="1">
      <alignment horizontal="center" vertical="center" wrapText="1"/>
    </xf>
    <xf numFmtId="167" fontId="0" fillId="0" borderId="10" xfId="0" applyNumberFormat="1" applyFont="1" applyFill="1" applyBorder="1" applyAlignment="1">
      <alignment horizontal="center" vertical="center" wrapText="1"/>
    </xf>
    <xf numFmtId="167" fontId="20" fillId="0" borderId="10" xfId="0" applyNumberFormat="1" applyFont="1" applyFill="1" applyBorder="1" applyAlignment="1">
      <alignment horizontal="center" vertical="center" wrapText="1"/>
    </xf>
    <xf numFmtId="168" fontId="0" fillId="0" borderId="10" xfId="0" applyNumberFormat="1" applyFill="1" applyBorder="1" applyAlignment="1">
      <alignment horizontal="center" vertical="center" wrapText="1"/>
    </xf>
    <xf numFmtId="0" fontId="20" fillId="0" borderId="10" xfId="0" applyFont="1" applyFill="1" applyBorder="1" applyAlignment="1">
      <alignment horizontal="center" wrapText="1"/>
    </xf>
    <xf numFmtId="164" fontId="0" fillId="0" borderId="0" xfId="0" applyNumberFormat="1" applyAlignment="1">
      <alignment wrapText="1"/>
    </xf>
    <xf numFmtId="0" fontId="0" fillId="0" borderId="10" xfId="0" applyBorder="1" applyAlignment="1">
      <alignment wrapText="1"/>
    </xf>
    <xf numFmtId="8" fontId="0" fillId="35" borderId="10" xfId="0" applyNumberFormat="1" applyFill="1" applyBorder="1" applyAlignment="1">
      <alignment horizontal="center" vertical="center"/>
    </xf>
    <xf numFmtId="0" fontId="0" fillId="0" borderId="10" xfId="0" applyBorder="1"/>
    <xf numFmtId="8" fontId="0" fillId="0" borderId="10" xfId="0" applyNumberFormat="1" applyBorder="1"/>
    <xf numFmtId="0" fontId="0" fillId="0" borderId="0" xfId="0" applyBorder="1" applyAlignment="1">
      <alignment horizontal="left" vertical="center" wrapText="1"/>
    </xf>
    <xf numFmtId="0" fontId="23" fillId="0" borderId="10" xfId="0" applyFont="1" applyFill="1" applyBorder="1" applyAlignment="1">
      <alignment horizontal="center" vertical="center" wrapText="1"/>
    </xf>
    <xf numFmtId="164" fontId="20" fillId="0" borderId="10" xfId="0" applyNumberFormat="1" applyFont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left" vertical="center" wrapText="1"/>
    </xf>
    <xf numFmtId="0" fontId="0" fillId="35" borderId="10" xfId="0" applyFill="1" applyBorder="1" applyAlignment="1">
      <alignment wrapText="1"/>
    </xf>
    <xf numFmtId="8" fontId="0" fillId="35" borderId="10" xfId="0" applyNumberFormat="1" applyFill="1" applyBorder="1" applyAlignment="1">
      <alignment horizontal="center" vertical="center" wrapText="1"/>
    </xf>
    <xf numFmtId="0" fontId="0" fillId="0" borderId="0" xfId="0" applyBorder="1" applyAlignment="1"/>
    <xf numFmtId="0" fontId="0" fillId="0" borderId="0" xfId="0" applyFont="1" applyFill="1" applyBorder="1" applyAlignment="1">
      <alignment horizontal="left" vertical="center" wrapText="1"/>
    </xf>
    <xf numFmtId="169" fontId="19" fillId="35" borderId="10" xfId="0" applyNumberFormat="1" applyFont="1" applyFill="1" applyBorder="1" applyAlignment="1">
      <alignment horizontal="center" vertical="center" wrapText="1"/>
    </xf>
    <xf numFmtId="170" fontId="0" fillId="35" borderId="10" xfId="0" applyNumberFormat="1" applyFill="1" applyBorder="1" applyAlignment="1">
      <alignment horizontal="center" vertical="center"/>
    </xf>
    <xf numFmtId="8" fontId="16" fillId="35" borderId="10" xfId="0" applyNumberFormat="1" applyFont="1" applyFill="1" applyBorder="1" applyAlignment="1">
      <alignment horizontal="center" vertical="center"/>
    </xf>
    <xf numFmtId="0" fontId="0" fillId="36" borderId="0" xfId="0" applyFill="1" applyBorder="1" applyAlignment="1">
      <alignment wrapText="1"/>
    </xf>
    <xf numFmtId="8" fontId="0" fillId="36" borderId="0" xfId="0" applyNumberFormat="1" applyFill="1" applyBorder="1" applyAlignment="1">
      <alignment horizontal="center" vertical="center" wrapText="1"/>
    </xf>
    <xf numFmtId="0" fontId="0" fillId="35" borderId="10" xfId="0" applyFill="1" applyBorder="1" applyAlignment="1">
      <alignment horizontal="center"/>
    </xf>
    <xf numFmtId="0" fontId="0" fillId="35" borderId="10" xfId="0" applyFill="1" applyBorder="1" applyAlignment="1">
      <alignment horizontal="center" wrapText="1"/>
    </xf>
    <xf numFmtId="0" fontId="0" fillId="35" borderId="10" xfId="0" applyFill="1" applyBorder="1" applyAlignment="1">
      <alignment horizontal="center" vertical="center" wrapText="1"/>
    </xf>
    <xf numFmtId="164" fontId="0" fillId="35" borderId="10" xfId="0" applyNumberFormat="1" applyFill="1" applyBorder="1" applyAlignment="1">
      <alignment horizontal="center" wrapText="1"/>
    </xf>
    <xf numFmtId="15" fontId="20" fillId="35" borderId="10" xfId="0" applyNumberFormat="1" applyFont="1" applyFill="1" applyBorder="1" applyAlignment="1">
      <alignment horizontal="center" wrapText="1"/>
    </xf>
    <xf numFmtId="8" fontId="22" fillId="35" borderId="10" xfId="0" applyNumberFormat="1" applyFont="1" applyFill="1" applyBorder="1" applyAlignment="1">
      <alignment horizontal="center" vertical="center" wrapText="1"/>
    </xf>
    <xf numFmtId="166" fontId="20" fillId="35" borderId="10" xfId="0" applyNumberFormat="1" applyFont="1" applyFill="1" applyBorder="1" applyAlignment="1">
      <alignment horizontal="center" wrapText="1"/>
    </xf>
    <xf numFmtId="166" fontId="20" fillId="0" borderId="10" xfId="0" applyNumberFormat="1" applyFont="1" applyFill="1" applyBorder="1" applyAlignment="1">
      <alignment horizontal="center" vertical="center" wrapText="1"/>
    </xf>
    <xf numFmtId="0" fontId="0" fillId="35" borderId="0" xfId="0" applyFill="1"/>
    <xf numFmtId="0" fontId="0" fillId="0" borderId="10" xfId="0" applyBorder="1" applyAlignment="1">
      <alignment horizontal="left"/>
    </xf>
    <xf numFmtId="164" fontId="0" fillId="0" borderId="10" xfId="0" applyNumberFormat="1" applyFill="1" applyBorder="1" applyAlignment="1">
      <alignment horizontal="center" vertical="center" wrapText="1"/>
    </xf>
    <xf numFmtId="0" fontId="0" fillId="0" borderId="10" xfId="0" applyBorder="1" applyAlignment="1">
      <alignment wrapText="1"/>
    </xf>
    <xf numFmtId="0" fontId="0" fillId="0" borderId="10" xfId="0" applyFill="1" applyBorder="1" applyAlignment="1">
      <alignment horizontal="center"/>
    </xf>
    <xf numFmtId="8" fontId="0" fillId="0" borderId="10" xfId="0" applyNumberFormat="1" applyFill="1" applyBorder="1" applyAlignment="1">
      <alignment horizontal="center" vertical="center"/>
    </xf>
    <xf numFmtId="0" fontId="0" fillId="0" borderId="0" xfId="0" applyFill="1"/>
    <xf numFmtId="0" fontId="0" fillId="38" borderId="10" xfId="0" applyFill="1" applyBorder="1" applyAlignment="1">
      <alignment horizontal="center"/>
    </xf>
    <xf numFmtId="0" fontId="0" fillId="38" borderId="10" xfId="0" applyFill="1" applyBorder="1" applyAlignment="1">
      <alignment horizontal="center" wrapText="1"/>
    </xf>
    <xf numFmtId="0" fontId="0" fillId="38" borderId="10" xfId="0" applyFill="1" applyBorder="1" applyAlignment="1">
      <alignment horizontal="center" vertical="center" wrapText="1"/>
    </xf>
    <xf numFmtId="0" fontId="0" fillId="38" borderId="10" xfId="0" applyFill="1" applyBorder="1" applyAlignment="1">
      <alignment wrapText="1"/>
    </xf>
    <xf numFmtId="166" fontId="20" fillId="38" borderId="10" xfId="0" applyNumberFormat="1" applyFont="1" applyFill="1" applyBorder="1" applyAlignment="1">
      <alignment horizontal="center" wrapText="1"/>
    </xf>
    <xf numFmtId="164" fontId="0" fillId="38" borderId="10" xfId="0" applyNumberFormat="1" applyFill="1" applyBorder="1" applyAlignment="1">
      <alignment horizontal="center" wrapText="1"/>
    </xf>
    <xf numFmtId="8" fontId="0" fillId="38" borderId="10" xfId="0" applyNumberFormat="1" applyFill="1" applyBorder="1" applyAlignment="1">
      <alignment horizontal="center" vertical="center"/>
    </xf>
    <xf numFmtId="8" fontId="0" fillId="38" borderId="10" xfId="0" applyNumberFormat="1" applyFill="1" applyBorder="1" applyAlignment="1">
      <alignment horizontal="center" vertical="center" wrapText="1"/>
    </xf>
    <xf numFmtId="0" fontId="20" fillId="38" borderId="10" xfId="0" applyFont="1" applyFill="1" applyBorder="1" applyAlignment="1">
      <alignment horizontal="center" wrapText="1"/>
    </xf>
    <xf numFmtId="0" fontId="0" fillId="38" borderId="10" xfId="0" applyFill="1" applyBorder="1" applyAlignment="1">
      <alignment horizontal="left" vertical="center" wrapText="1"/>
    </xf>
    <xf numFmtId="164" fontId="0" fillId="38" borderId="10" xfId="0" applyNumberFormat="1" applyFill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/>
    </xf>
    <xf numFmtId="0" fontId="28" fillId="0" borderId="10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4" fontId="33" fillId="0" borderId="18" xfId="0" applyNumberFormat="1" applyFont="1" applyBorder="1" applyAlignment="1">
      <alignment horizontal="right" vertical="center"/>
    </xf>
    <xf numFmtId="0" fontId="33" fillId="0" borderId="18" xfId="0" applyFont="1" applyBorder="1" applyAlignment="1">
      <alignment horizontal="right" vertical="center"/>
    </xf>
    <xf numFmtId="0" fontId="0" fillId="35" borderId="0" xfId="0" applyFill="1" applyAlignment="1">
      <alignment wrapText="1"/>
    </xf>
    <xf numFmtId="0" fontId="21" fillId="0" borderId="10" xfId="0" applyFont="1" applyBorder="1" applyAlignment="1">
      <alignment horizontal="center" vertical="center" wrapText="1"/>
    </xf>
    <xf numFmtId="0" fontId="28" fillId="0" borderId="10" xfId="0" applyFont="1" applyBorder="1" applyAlignment="1">
      <alignment horizontal="center" vertical="center" wrapText="1"/>
    </xf>
    <xf numFmtId="0" fontId="28" fillId="0" borderId="10" xfId="0" applyFont="1" applyBorder="1" applyAlignment="1">
      <alignment wrapText="1"/>
    </xf>
    <xf numFmtId="0" fontId="0" fillId="0" borderId="10" xfId="0" applyBorder="1" applyAlignment="1">
      <alignment wrapText="1"/>
    </xf>
    <xf numFmtId="0" fontId="30" fillId="37" borderId="15" xfId="0" applyFont="1" applyFill="1" applyBorder="1" applyAlignment="1">
      <alignment horizontal="left" vertical="center" wrapText="1"/>
    </xf>
    <xf numFmtId="0" fontId="30" fillId="37" borderId="15" xfId="0" applyFont="1" applyFill="1" applyBorder="1" applyAlignment="1">
      <alignment horizontal="left"/>
    </xf>
    <xf numFmtId="14" fontId="33" fillId="0" borderId="18" xfId="0" applyNumberFormat="1" applyFont="1" applyBorder="1" applyAlignment="1">
      <alignment horizontal="right" vertical="center" wrapText="1"/>
    </xf>
    <xf numFmtId="0" fontId="21" fillId="0" borderId="12" xfId="0" applyFont="1" applyBorder="1" applyAlignment="1">
      <alignment horizontal="center" vertical="center" wrapText="1"/>
    </xf>
    <xf numFmtId="0" fontId="28" fillId="0" borderId="14" xfId="0" applyFont="1" applyBorder="1" applyAlignment="1"/>
    <xf numFmtId="0" fontId="0" fillId="0" borderId="13" xfId="0" applyBorder="1" applyAlignment="1"/>
    <xf numFmtId="0" fontId="0" fillId="0" borderId="16" xfId="0" applyBorder="1" applyAlignment="1"/>
    <xf numFmtId="0" fontId="0" fillId="0" borderId="17" xfId="0" applyBorder="1" applyAlignment="1"/>
    <xf numFmtId="0" fontId="0" fillId="0" borderId="11" xfId="0" applyBorder="1" applyAlignment="1"/>
    <xf numFmtId="0" fontId="0" fillId="37" borderId="15" xfId="0" applyFont="1" applyFill="1" applyBorder="1" applyAlignment="1">
      <alignment horizontal="left" vertical="center" wrapText="1"/>
    </xf>
    <xf numFmtId="0" fontId="0" fillId="37" borderId="15" xfId="0" applyFill="1" applyBorder="1" applyAlignment="1">
      <alignment horizontal="left" vertical="center" wrapText="1"/>
    </xf>
    <xf numFmtId="0" fontId="0" fillId="37" borderId="15" xfId="0" applyFill="1" applyBorder="1" applyAlignme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K21"/>
  <sheetViews>
    <sheetView showGridLines="0" zoomScale="80" zoomScaleNormal="80" workbookViewId="0">
      <selection activeCell="E4" sqref="E4"/>
    </sheetView>
  </sheetViews>
  <sheetFormatPr defaultRowHeight="14.4" x14ac:dyDescent="0.3"/>
  <cols>
    <col min="1" max="1" width="18.5546875" bestFit="1" customWidth="1"/>
    <col min="2" max="2" width="12.44140625" bestFit="1" customWidth="1"/>
    <col min="3" max="3" width="18.33203125" customWidth="1"/>
    <col min="4" max="4" width="47.109375" customWidth="1"/>
    <col min="5" max="5" width="13.5546875" customWidth="1"/>
    <col min="6" max="7" width="17.33203125" customWidth="1"/>
    <col min="8" max="8" width="19.33203125" bestFit="1" customWidth="1"/>
    <col min="9" max="9" width="25" customWidth="1"/>
    <col min="10" max="10" width="24" customWidth="1"/>
    <col min="11" max="11" width="26.6640625" customWidth="1"/>
    <col min="12" max="12" width="32.88671875" customWidth="1"/>
  </cols>
  <sheetData>
    <row r="1" spans="1:11" ht="21" x14ac:dyDescent="0.4">
      <c r="K1" s="41">
        <v>44047</v>
      </c>
    </row>
    <row r="2" spans="1:11" ht="34.5" customHeight="1" x14ac:dyDescent="0.3">
      <c r="A2" s="99" t="s">
        <v>224</v>
      </c>
      <c r="B2" s="99"/>
      <c r="C2" s="99"/>
      <c r="D2" s="99"/>
      <c r="E2" s="100"/>
      <c r="F2" s="100"/>
      <c r="G2" s="100"/>
      <c r="H2" s="100"/>
      <c r="I2" s="100"/>
      <c r="J2" s="100"/>
      <c r="K2" s="100"/>
    </row>
    <row r="3" spans="1:11" ht="43.2" x14ac:dyDescent="0.3">
      <c r="A3" s="3" t="s">
        <v>0</v>
      </c>
      <c r="B3" s="3" t="s">
        <v>1</v>
      </c>
      <c r="C3" s="3" t="s">
        <v>2</v>
      </c>
      <c r="D3" s="3" t="s">
        <v>3</v>
      </c>
      <c r="E3" s="3" t="s">
        <v>90</v>
      </c>
      <c r="F3" s="3" t="s">
        <v>5</v>
      </c>
      <c r="G3" s="3" t="s">
        <v>92</v>
      </c>
      <c r="H3" s="3" t="s">
        <v>4</v>
      </c>
      <c r="I3" s="3" t="s">
        <v>113</v>
      </c>
      <c r="J3" s="3" t="s">
        <v>114</v>
      </c>
      <c r="K3" s="3" t="s">
        <v>115</v>
      </c>
    </row>
    <row r="4" spans="1:11" ht="42" customHeight="1" x14ac:dyDescent="0.3">
      <c r="A4" s="19" t="s">
        <v>110</v>
      </c>
      <c r="B4" s="19" t="s">
        <v>109</v>
      </c>
      <c r="C4" s="19" t="s">
        <v>95</v>
      </c>
      <c r="D4" s="4" t="s">
        <v>111</v>
      </c>
      <c r="E4" s="31">
        <v>42832</v>
      </c>
      <c r="F4" s="19" t="s">
        <v>112</v>
      </c>
      <c r="G4" s="19" t="s">
        <v>101</v>
      </c>
      <c r="H4" s="19" t="s">
        <v>91</v>
      </c>
      <c r="I4" s="25">
        <v>-7.9</v>
      </c>
      <c r="J4" s="25">
        <f>I4</f>
        <v>-7.9</v>
      </c>
      <c r="K4" s="25">
        <f>J4/0.07</f>
        <v>-112.85714285714285</v>
      </c>
    </row>
    <row r="5" spans="1:11" ht="49.5" customHeight="1" x14ac:dyDescent="0.3">
      <c r="A5" s="19" t="s">
        <v>107</v>
      </c>
      <c r="B5" s="19" t="s">
        <v>105</v>
      </c>
      <c r="C5" s="19" t="s">
        <v>104</v>
      </c>
      <c r="D5" s="4" t="s">
        <v>103</v>
      </c>
      <c r="E5" s="31">
        <v>42858</v>
      </c>
      <c r="F5" s="19" t="s">
        <v>106</v>
      </c>
      <c r="G5" s="19" t="s">
        <v>101</v>
      </c>
      <c r="H5" s="19" t="s">
        <v>91</v>
      </c>
      <c r="I5" s="25">
        <v>0</v>
      </c>
      <c r="J5" s="25">
        <v>0</v>
      </c>
      <c r="K5" s="25">
        <v>0</v>
      </c>
    </row>
    <row r="6" spans="1:11" ht="50.25" customHeight="1" x14ac:dyDescent="0.3">
      <c r="A6" s="19" t="s">
        <v>94</v>
      </c>
      <c r="B6" s="19" t="s">
        <v>88</v>
      </c>
      <c r="C6" s="19" t="s">
        <v>87</v>
      </c>
      <c r="D6" s="4" t="s">
        <v>89</v>
      </c>
      <c r="E6" s="31">
        <v>42935</v>
      </c>
      <c r="F6" s="19" t="s">
        <v>98</v>
      </c>
      <c r="G6" s="19" t="s">
        <v>93</v>
      </c>
      <c r="H6" s="19" t="s">
        <v>91</v>
      </c>
      <c r="I6" s="25">
        <v>0</v>
      </c>
      <c r="J6" s="25">
        <v>0</v>
      </c>
      <c r="K6" s="25">
        <v>0</v>
      </c>
    </row>
    <row r="7" spans="1:11" ht="50.25" customHeight="1" x14ac:dyDescent="0.3">
      <c r="A7" s="19" t="s">
        <v>99</v>
      </c>
      <c r="B7" s="19" t="s">
        <v>96</v>
      </c>
      <c r="C7" s="19" t="s">
        <v>95</v>
      </c>
      <c r="D7" s="4" t="s">
        <v>100</v>
      </c>
      <c r="E7" s="31">
        <v>42914</v>
      </c>
      <c r="F7" s="19" t="s">
        <v>97</v>
      </c>
      <c r="G7" s="19" t="s">
        <v>101</v>
      </c>
      <c r="H7" s="19" t="s">
        <v>91</v>
      </c>
      <c r="I7" s="25">
        <v>0</v>
      </c>
      <c r="J7" s="25">
        <v>0</v>
      </c>
      <c r="K7" s="25">
        <v>0</v>
      </c>
    </row>
    <row r="8" spans="1:11" ht="50.25" customHeight="1" x14ac:dyDescent="0.3">
      <c r="A8" s="8" t="s">
        <v>225</v>
      </c>
      <c r="B8" s="8" t="s">
        <v>226</v>
      </c>
      <c r="C8" s="19" t="s">
        <v>230</v>
      </c>
      <c r="D8" s="8" t="s">
        <v>229</v>
      </c>
      <c r="E8" s="80">
        <v>43045</v>
      </c>
      <c r="F8" s="8" t="s">
        <v>227</v>
      </c>
      <c r="G8" s="19" t="s">
        <v>228</v>
      </c>
      <c r="H8" s="19" t="s">
        <v>91</v>
      </c>
      <c r="I8" s="25">
        <v>0</v>
      </c>
      <c r="J8" s="25">
        <v>0</v>
      </c>
      <c r="K8" s="25">
        <v>0</v>
      </c>
    </row>
    <row r="9" spans="1:11" ht="28.5" customHeight="1" x14ac:dyDescent="0.3">
      <c r="E9" s="1"/>
      <c r="F9" s="1"/>
      <c r="G9" s="1"/>
      <c r="H9" s="32" t="s">
        <v>68</v>
      </c>
      <c r="I9" s="33"/>
      <c r="J9" s="33">
        <f>SUM(J4:J7)</f>
        <v>-7.9</v>
      </c>
      <c r="K9" s="33">
        <f>SUM(K4:K7)</f>
        <v>-112.85714285714285</v>
      </c>
    </row>
    <row r="10" spans="1:11" x14ac:dyDescent="0.3">
      <c r="H10" s="2"/>
      <c r="I10" s="5"/>
      <c r="J10" s="5"/>
      <c r="K10" s="5"/>
    </row>
    <row r="11" spans="1:11" hidden="1" x14ac:dyDescent="0.3">
      <c r="A11" s="6">
        <f>106.72/111.19</f>
        <v>0.95979854303444556</v>
      </c>
      <c r="B11" t="s">
        <v>117</v>
      </c>
    </row>
    <row r="12" spans="1:11" hidden="1" x14ac:dyDescent="0.3">
      <c r="A12" s="6">
        <f>106.72/108.82</f>
        <v>0.98070207682411326</v>
      </c>
      <c r="B12" t="s">
        <v>118</v>
      </c>
    </row>
    <row r="13" spans="1:11" hidden="1" x14ac:dyDescent="0.3">
      <c r="A13" t="s">
        <v>108</v>
      </c>
      <c r="B13">
        <f>1/1.07</f>
        <v>0.93457943925233644</v>
      </c>
    </row>
    <row r="14" spans="1:11" hidden="1" x14ac:dyDescent="0.3">
      <c r="A14" t="s">
        <v>77</v>
      </c>
      <c r="B14">
        <f>1/(1.07^2)</f>
        <v>0.87343872827321156</v>
      </c>
    </row>
    <row r="15" spans="1:11" hidden="1" x14ac:dyDescent="0.3">
      <c r="A15" t="s">
        <v>78</v>
      </c>
      <c r="B15">
        <f>1/(1.07^3)</f>
        <v>0.81629787689085187</v>
      </c>
    </row>
    <row r="16" spans="1:11" hidden="1" x14ac:dyDescent="0.3">
      <c r="A16" t="s">
        <v>79</v>
      </c>
      <c r="B16">
        <f>1/(1.07^4)</f>
        <v>0.7628952120475252</v>
      </c>
    </row>
    <row r="19" spans="1:4" x14ac:dyDescent="0.3">
      <c r="A19" s="81" t="s">
        <v>231</v>
      </c>
      <c r="B19" s="81"/>
      <c r="C19" s="81"/>
      <c r="D19" s="81"/>
    </row>
    <row r="20" spans="1:4" x14ac:dyDescent="0.3">
      <c r="A20" s="81" t="s">
        <v>232</v>
      </c>
      <c r="B20" s="81"/>
      <c r="C20" s="81"/>
      <c r="D20" s="81"/>
    </row>
    <row r="21" spans="1:4" x14ac:dyDescent="0.3">
      <c r="A21" s="81" t="s">
        <v>233</v>
      </c>
      <c r="B21" s="81"/>
      <c r="C21" s="81"/>
      <c r="D21" s="81"/>
    </row>
  </sheetData>
  <sortState ref="A3:K7">
    <sortCondition ref="E3:E7"/>
  </sortState>
  <mergeCells count="1">
    <mergeCell ref="A2:K2"/>
  </mergeCells>
  <pageMargins left="0.75" right="0.75" top="1" bottom="1" header="0.5" footer="0.5"/>
  <pageSetup paperSize="5" scale="66" fitToHeight="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2"/>
  <sheetViews>
    <sheetView showGridLines="0" zoomScale="70" zoomScaleNormal="70" workbookViewId="0">
      <selection activeCell="N8" sqref="N8"/>
    </sheetView>
  </sheetViews>
  <sheetFormatPr defaultRowHeight="14.4" x14ac:dyDescent="0.3"/>
  <cols>
    <col min="1" max="1" width="20.109375" customWidth="1"/>
    <col min="2" max="2" width="12.44140625" bestFit="1" customWidth="1"/>
    <col min="3" max="3" width="18.33203125" customWidth="1"/>
    <col min="4" max="4" width="47.109375" customWidth="1"/>
    <col min="5" max="5" width="16.44140625" customWidth="1"/>
    <col min="6" max="7" width="17.33203125" customWidth="1"/>
    <col min="8" max="8" width="19.33203125" bestFit="1" customWidth="1"/>
    <col min="9" max="9" width="24.5546875" customWidth="1"/>
    <col min="10" max="10" width="24.6640625" customWidth="1"/>
    <col min="11" max="11" width="25.109375" customWidth="1"/>
  </cols>
  <sheetData>
    <row r="1" spans="1:12" ht="29.25" customHeight="1" x14ac:dyDescent="0.3">
      <c r="A1" s="102">
        <v>44047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</row>
    <row r="2" spans="1:12" ht="34.5" customHeight="1" x14ac:dyDescent="0.3">
      <c r="A2" s="99" t="s">
        <v>178</v>
      </c>
      <c r="B2" s="99"/>
      <c r="C2" s="99"/>
      <c r="D2" s="99"/>
      <c r="E2" s="101"/>
      <c r="F2" s="101"/>
      <c r="G2" s="101"/>
      <c r="H2" s="101"/>
      <c r="I2" s="101"/>
      <c r="J2" s="101"/>
      <c r="K2" s="101"/>
    </row>
    <row r="3" spans="1:12" ht="43.2" x14ac:dyDescent="0.3">
      <c r="A3" s="3" t="s">
        <v>0</v>
      </c>
      <c r="B3" s="3" t="s">
        <v>1</v>
      </c>
      <c r="C3" s="3" t="s">
        <v>2</v>
      </c>
      <c r="D3" s="3" t="s">
        <v>3</v>
      </c>
      <c r="E3" s="3" t="s">
        <v>90</v>
      </c>
      <c r="F3" s="3" t="s">
        <v>5</v>
      </c>
      <c r="G3" s="3" t="s">
        <v>119</v>
      </c>
      <c r="H3" s="3" t="s">
        <v>4</v>
      </c>
      <c r="I3" s="3" t="s">
        <v>113</v>
      </c>
      <c r="J3" s="3" t="s">
        <v>114</v>
      </c>
      <c r="K3" s="3" t="s">
        <v>115</v>
      </c>
    </row>
    <row r="4" spans="1:12" ht="28.8" x14ac:dyDescent="0.3">
      <c r="A4" s="19" t="s">
        <v>44</v>
      </c>
      <c r="B4" s="75" t="s">
        <v>45</v>
      </c>
      <c r="C4" s="19" t="s">
        <v>104</v>
      </c>
      <c r="D4" s="4" t="s">
        <v>46</v>
      </c>
      <c r="E4" s="34">
        <v>43048</v>
      </c>
      <c r="F4" s="19" t="s">
        <v>73</v>
      </c>
      <c r="G4" s="19" t="s">
        <v>101</v>
      </c>
      <c r="H4" s="19" t="s">
        <v>9</v>
      </c>
      <c r="I4" s="25">
        <v>-5.2</v>
      </c>
      <c r="J4" s="25">
        <f>I4*$B$18*$B$20</f>
        <v>-4.4542325089399855</v>
      </c>
      <c r="K4" s="25">
        <f>J4/7%</f>
        <v>-63.631892984856933</v>
      </c>
    </row>
    <row r="5" spans="1:12" x14ac:dyDescent="0.3">
      <c r="A5" s="19" t="s">
        <v>24</v>
      </c>
      <c r="B5" s="75" t="s">
        <v>25</v>
      </c>
      <c r="C5" s="19" t="s">
        <v>104</v>
      </c>
      <c r="D5" s="4" t="s">
        <v>26</v>
      </c>
      <c r="E5" s="34">
        <v>43063</v>
      </c>
      <c r="F5" s="19" t="s">
        <v>27</v>
      </c>
      <c r="G5" s="19" t="s">
        <v>101</v>
      </c>
      <c r="H5" s="19" t="s">
        <v>9</v>
      </c>
      <c r="I5" s="36">
        <v>-0.02</v>
      </c>
      <c r="J5" s="36">
        <v>-1.8700000000000001E-2</v>
      </c>
      <c r="K5" s="25">
        <f>J5/7%</f>
        <v>-0.26714285714285713</v>
      </c>
    </row>
    <row r="6" spans="1:12" ht="28.8" x14ac:dyDescent="0.3">
      <c r="A6" s="19" t="s">
        <v>14</v>
      </c>
      <c r="B6" s="75" t="s">
        <v>15</v>
      </c>
      <c r="C6" s="19" t="s">
        <v>121</v>
      </c>
      <c r="D6" s="4" t="s">
        <v>16</v>
      </c>
      <c r="E6" s="34">
        <v>43068</v>
      </c>
      <c r="F6" s="19" t="s">
        <v>17</v>
      </c>
      <c r="G6" s="19" t="s">
        <v>101</v>
      </c>
      <c r="H6" s="19" t="s">
        <v>9</v>
      </c>
      <c r="I6" s="25">
        <v>-4.0599999999999996</v>
      </c>
      <c r="J6" s="25">
        <f>I6*$B$18*$B$20</f>
        <v>-3.4777276896723723</v>
      </c>
      <c r="K6" s="25">
        <f>J6/0.07</f>
        <v>-49.681824138176744</v>
      </c>
    </row>
    <row r="7" spans="1:12" ht="43.2" x14ac:dyDescent="0.3">
      <c r="A7" s="19" t="s">
        <v>18</v>
      </c>
      <c r="B7" s="75" t="s">
        <v>19</v>
      </c>
      <c r="C7" s="19" t="s">
        <v>95</v>
      </c>
      <c r="D7" s="4" t="s">
        <v>122</v>
      </c>
      <c r="E7" s="34">
        <v>43068</v>
      </c>
      <c r="F7" s="19" t="s">
        <v>20</v>
      </c>
      <c r="G7" s="19" t="s">
        <v>119</v>
      </c>
      <c r="H7" s="19" t="s">
        <v>9</v>
      </c>
      <c r="I7" s="25">
        <v>-91.49</v>
      </c>
      <c r="J7" s="25">
        <f>I7*$B$19</f>
        <v>-85.504672897196258</v>
      </c>
      <c r="K7" s="25">
        <f>J7/7%</f>
        <v>-1221.4953271028035</v>
      </c>
    </row>
    <row r="8" spans="1:12" ht="42" customHeight="1" x14ac:dyDescent="0.3">
      <c r="A8" s="19" t="s">
        <v>47</v>
      </c>
      <c r="B8" s="75" t="s">
        <v>48</v>
      </c>
      <c r="C8" s="19" t="s">
        <v>161</v>
      </c>
      <c r="D8" s="4" t="s">
        <v>49</v>
      </c>
      <c r="E8" s="34">
        <v>43199</v>
      </c>
      <c r="F8" s="19" t="s">
        <v>72</v>
      </c>
      <c r="G8" s="19" t="s">
        <v>101</v>
      </c>
      <c r="H8" s="19" t="s">
        <v>9</v>
      </c>
      <c r="I8" s="25">
        <v>-27.6</v>
      </c>
      <c r="J8" s="25">
        <f>I8/1.07</f>
        <v>-25.794392523364486</v>
      </c>
      <c r="K8" s="25">
        <f>J8/7%</f>
        <v>-368.49132176234974</v>
      </c>
    </row>
    <row r="9" spans="1:12" ht="21" customHeight="1" x14ac:dyDescent="0.3">
      <c r="A9" s="19" t="s">
        <v>37</v>
      </c>
      <c r="B9" s="75" t="s">
        <v>38</v>
      </c>
      <c r="C9" s="19" t="s">
        <v>104</v>
      </c>
      <c r="D9" s="4" t="s">
        <v>39</v>
      </c>
      <c r="E9" s="34">
        <v>43237</v>
      </c>
      <c r="F9" s="19" t="s">
        <v>80</v>
      </c>
      <c r="G9" s="19" t="s">
        <v>123</v>
      </c>
      <c r="H9" s="19" t="s">
        <v>9</v>
      </c>
      <c r="I9" s="25">
        <v>-0.37</v>
      </c>
      <c r="J9" s="25">
        <v>-0.32</v>
      </c>
      <c r="K9" s="25">
        <f>J9/7%</f>
        <v>-4.5714285714285712</v>
      </c>
    </row>
    <row r="10" spans="1:12" ht="43.2" x14ac:dyDescent="0.3">
      <c r="A10" s="19" t="s">
        <v>120</v>
      </c>
      <c r="B10" s="75" t="s">
        <v>75</v>
      </c>
      <c r="C10" s="19" t="s">
        <v>87</v>
      </c>
      <c r="D10" s="4" t="s">
        <v>66</v>
      </c>
      <c r="E10" s="34">
        <v>43251</v>
      </c>
      <c r="F10" s="19" t="s">
        <v>67</v>
      </c>
      <c r="G10" s="19" t="s">
        <v>93</v>
      </c>
      <c r="H10" s="19" t="s">
        <v>9</v>
      </c>
      <c r="I10" s="35">
        <v>0</v>
      </c>
      <c r="J10" s="53">
        <v>0</v>
      </c>
      <c r="K10" s="53">
        <v>0</v>
      </c>
    </row>
    <row r="11" spans="1:12" ht="44.25" customHeight="1" x14ac:dyDescent="0.3">
      <c r="A11" s="19" t="s">
        <v>21</v>
      </c>
      <c r="B11" s="75" t="s">
        <v>22</v>
      </c>
      <c r="C11" s="19" t="s">
        <v>95</v>
      </c>
      <c r="D11" s="4" t="s">
        <v>23</v>
      </c>
      <c r="E11" s="34">
        <v>43272</v>
      </c>
      <c r="F11" s="19" t="s">
        <v>74</v>
      </c>
      <c r="G11" s="19" t="s">
        <v>101</v>
      </c>
      <c r="H11" s="19" t="s">
        <v>9</v>
      </c>
      <c r="I11" s="25">
        <v>0</v>
      </c>
      <c r="J11" s="25">
        <v>0</v>
      </c>
      <c r="K11" s="25">
        <v>0</v>
      </c>
    </row>
    <row r="12" spans="1:12" ht="48.75" customHeight="1" x14ac:dyDescent="0.3">
      <c r="A12" s="19" t="s">
        <v>54</v>
      </c>
      <c r="B12" s="75" t="s">
        <v>55</v>
      </c>
      <c r="C12" s="19" t="s">
        <v>157</v>
      </c>
      <c r="D12" s="4" t="s">
        <v>56</v>
      </c>
      <c r="E12" s="34">
        <v>43299</v>
      </c>
      <c r="F12" s="19" t="s">
        <v>71</v>
      </c>
      <c r="G12" s="19" t="s">
        <v>101</v>
      </c>
      <c r="H12" s="19" t="s">
        <v>9</v>
      </c>
      <c r="I12" s="25">
        <v>-92.89</v>
      </c>
      <c r="J12" s="25">
        <f>I12*$B$18*$B$20</f>
        <v>-79.568011106814453</v>
      </c>
      <c r="K12" s="25">
        <f>J12/7%</f>
        <v>-1136.685872954492</v>
      </c>
    </row>
    <row r="13" spans="1:12" ht="48.75" customHeight="1" x14ac:dyDescent="0.3">
      <c r="A13" s="19" t="s">
        <v>40</v>
      </c>
      <c r="B13" s="75" t="s">
        <v>41</v>
      </c>
      <c r="C13" s="19" t="s">
        <v>104</v>
      </c>
      <c r="D13" s="4" t="s">
        <v>42</v>
      </c>
      <c r="E13" s="34">
        <v>43321</v>
      </c>
      <c r="F13" s="19" t="s">
        <v>81</v>
      </c>
      <c r="G13" s="19" t="s">
        <v>101</v>
      </c>
      <c r="H13" s="19" t="s">
        <v>9</v>
      </c>
      <c r="I13" s="25">
        <v>-1.65</v>
      </c>
      <c r="J13" s="25">
        <f>I13*$B$18*$B$20</f>
        <v>-1.4133622384136491</v>
      </c>
      <c r="K13" s="25">
        <f>J13/7%</f>
        <v>-20.190889120194985</v>
      </c>
    </row>
    <row r="14" spans="1:12" ht="49.5" customHeight="1" x14ac:dyDescent="0.3">
      <c r="A14" s="19" t="s">
        <v>86</v>
      </c>
      <c r="B14" s="75" t="s">
        <v>64</v>
      </c>
      <c r="C14" s="19" t="s">
        <v>116</v>
      </c>
      <c r="D14" s="4" t="s">
        <v>70</v>
      </c>
      <c r="E14" s="34">
        <v>43369</v>
      </c>
      <c r="F14" s="19" t="s">
        <v>85</v>
      </c>
      <c r="G14" s="19" t="s">
        <v>101</v>
      </c>
      <c r="H14" s="19" t="s">
        <v>9</v>
      </c>
      <c r="I14" s="35">
        <v>0</v>
      </c>
      <c r="J14" s="35">
        <v>0</v>
      </c>
      <c r="K14" s="19">
        <v>0</v>
      </c>
    </row>
    <row r="15" spans="1:12" ht="29.25" customHeight="1" x14ac:dyDescent="0.3">
      <c r="A15" s="26"/>
      <c r="B15" s="26"/>
      <c r="C15" s="26"/>
      <c r="D15" s="26"/>
      <c r="E15" s="37"/>
      <c r="F15" s="37"/>
      <c r="G15" s="37"/>
      <c r="H15" s="38" t="s">
        <v>68</v>
      </c>
      <c r="I15" s="38"/>
      <c r="J15" s="39">
        <f>SUM(J4:J14)</f>
        <v>-200.55109896440118</v>
      </c>
      <c r="K15" s="39">
        <f>SUM(K4:K14)</f>
        <v>-2865.0156994914455</v>
      </c>
    </row>
    <row r="16" spans="1:12" x14ac:dyDescent="0.3">
      <c r="E16" s="1"/>
      <c r="F16" s="1"/>
      <c r="G16" s="1"/>
      <c r="H16" s="1"/>
      <c r="I16" s="1"/>
      <c r="J16" s="1"/>
      <c r="K16" s="40">
        <f>K15*1.07*1.07</f>
        <v>-3280.1564743477561</v>
      </c>
      <c r="L16" t="s">
        <v>241</v>
      </c>
    </row>
    <row r="18" spans="1:2" hidden="1" x14ac:dyDescent="0.3">
      <c r="A18" t="s">
        <v>118</v>
      </c>
      <c r="B18">
        <f>106.72/108.82</f>
        <v>0.98070207682411326</v>
      </c>
    </row>
    <row r="19" spans="1:2" hidden="1" x14ac:dyDescent="0.3">
      <c r="A19" t="s">
        <v>108</v>
      </c>
      <c r="B19">
        <f>1/1.07</f>
        <v>0.93457943925233644</v>
      </c>
    </row>
    <row r="20" spans="1:2" hidden="1" x14ac:dyDescent="0.3">
      <c r="A20" t="s">
        <v>77</v>
      </c>
      <c r="B20">
        <f>1/(1.07^2)</f>
        <v>0.87343872827321156</v>
      </c>
    </row>
    <row r="21" spans="1:2" hidden="1" x14ac:dyDescent="0.3">
      <c r="A21" t="s">
        <v>78</v>
      </c>
      <c r="B21">
        <f>1/(1.07^3)</f>
        <v>0.81629787689085187</v>
      </c>
    </row>
    <row r="22" spans="1:2" hidden="1" x14ac:dyDescent="0.3">
      <c r="A22" t="s">
        <v>79</v>
      </c>
      <c r="B22">
        <f>1/(1.07^4)</f>
        <v>0.7628952120475252</v>
      </c>
    </row>
  </sheetData>
  <sortState ref="A3:K14">
    <sortCondition ref="E3:E14"/>
  </sortState>
  <mergeCells count="2">
    <mergeCell ref="A2:K2"/>
    <mergeCell ref="A1:K1"/>
  </mergeCells>
  <pageMargins left="0.75" right="0.75" top="1" bottom="1" header="0.5" footer="0.5"/>
  <pageSetup paperSize="5" scale="6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30"/>
  <sheetViews>
    <sheetView zoomScale="70" zoomScaleNormal="70" workbookViewId="0">
      <selection activeCell="D4" sqref="D4"/>
    </sheetView>
  </sheetViews>
  <sheetFormatPr defaultRowHeight="14.4" x14ac:dyDescent="0.3"/>
  <cols>
    <col min="1" max="1" width="22.88671875" style="7" customWidth="1"/>
    <col min="2" max="2" width="25.33203125" style="7" customWidth="1"/>
    <col min="3" max="3" width="26" style="7" customWidth="1"/>
    <col min="4" max="4" width="53.6640625" style="7" customWidth="1"/>
    <col min="5" max="5" width="20.6640625" style="7" customWidth="1"/>
    <col min="6" max="6" width="24.44140625" style="7" customWidth="1"/>
    <col min="7" max="7" width="25.33203125" style="7" customWidth="1"/>
    <col min="8" max="8" width="21.109375" style="7" customWidth="1"/>
    <col min="9" max="9" width="26.6640625" style="7" customWidth="1"/>
    <col min="10" max="10" width="25.6640625" customWidth="1"/>
    <col min="11" max="11" width="27" customWidth="1"/>
    <col min="12" max="12" width="25" customWidth="1"/>
    <col min="14" max="14" width="12.44140625" bestFit="1" customWidth="1"/>
  </cols>
  <sheetData>
    <row r="1" spans="1:12" ht="28.5" customHeight="1" x14ac:dyDescent="0.3">
      <c r="A1" s="111">
        <v>44047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</row>
    <row r="2" spans="1:12" s="7" customFormat="1" ht="39" customHeight="1" x14ac:dyDescent="0.65">
      <c r="A2" s="105" t="s">
        <v>201</v>
      </c>
      <c r="B2" s="106"/>
      <c r="C2" s="106"/>
      <c r="D2" s="106"/>
      <c r="E2" s="106"/>
      <c r="F2" s="106"/>
      <c r="G2" s="107"/>
      <c r="H2" s="107"/>
      <c r="I2" s="107"/>
      <c r="J2" s="107"/>
      <c r="K2" s="107"/>
      <c r="L2" s="108"/>
    </row>
    <row r="3" spans="1:12" s="7" customFormat="1" ht="60.75" customHeight="1" x14ac:dyDescent="0.3">
      <c r="A3" s="3" t="s">
        <v>0</v>
      </c>
      <c r="B3" s="3" t="s">
        <v>1</v>
      </c>
      <c r="C3" s="3" t="s">
        <v>2</v>
      </c>
      <c r="D3" s="3" t="s">
        <v>3</v>
      </c>
      <c r="E3" s="3" t="s">
        <v>90</v>
      </c>
      <c r="F3" s="3" t="s">
        <v>5</v>
      </c>
      <c r="G3" s="3" t="s">
        <v>119</v>
      </c>
      <c r="H3" s="3" t="s">
        <v>4</v>
      </c>
      <c r="I3" s="3" t="s">
        <v>207</v>
      </c>
      <c r="J3" s="3" t="s">
        <v>208</v>
      </c>
      <c r="K3" s="3" t="s">
        <v>115</v>
      </c>
      <c r="L3" s="3" t="s">
        <v>204</v>
      </c>
    </row>
    <row r="4" spans="1:12" s="7" customFormat="1" ht="51.75" customHeight="1" x14ac:dyDescent="0.3">
      <c r="A4" s="9" t="s">
        <v>180</v>
      </c>
      <c r="B4" s="43" t="s">
        <v>83</v>
      </c>
      <c r="C4" s="9" t="s">
        <v>104</v>
      </c>
      <c r="D4" s="10" t="s">
        <v>130</v>
      </c>
      <c r="E4" s="11">
        <v>43413</v>
      </c>
      <c r="F4" s="9" t="s">
        <v>179</v>
      </c>
      <c r="G4" s="9" t="s">
        <v>101</v>
      </c>
      <c r="H4" s="9" t="s">
        <v>91</v>
      </c>
      <c r="I4" s="15">
        <v>-2.39</v>
      </c>
      <c r="J4" s="50">
        <f>I4*$A$22*$B$25</f>
        <v>-1.9148808347245709</v>
      </c>
      <c r="K4" s="15">
        <f>J4/7%</f>
        <v>-27.355440496065295</v>
      </c>
      <c r="L4" s="108"/>
    </row>
    <row r="5" spans="1:12" s="7" customFormat="1" ht="72" customHeight="1" x14ac:dyDescent="0.3">
      <c r="A5" s="43" t="s">
        <v>211</v>
      </c>
      <c r="B5" s="43" t="s">
        <v>212</v>
      </c>
      <c r="C5" s="43" t="s">
        <v>95</v>
      </c>
      <c r="D5" s="44" t="s">
        <v>213</v>
      </c>
      <c r="E5" s="45">
        <v>43636</v>
      </c>
      <c r="F5" s="43" t="s">
        <v>214</v>
      </c>
      <c r="G5" s="43" t="s">
        <v>101</v>
      </c>
      <c r="H5" s="43" t="s">
        <v>91</v>
      </c>
      <c r="I5" s="46">
        <v>0</v>
      </c>
      <c r="J5" s="51">
        <v>0</v>
      </c>
      <c r="K5" s="46">
        <v>0</v>
      </c>
      <c r="L5" s="108"/>
    </row>
    <row r="6" spans="1:12" s="7" customFormat="1" ht="49.5" customHeight="1" x14ac:dyDescent="0.3">
      <c r="A6" s="9" t="s">
        <v>33</v>
      </c>
      <c r="B6" s="43" t="s">
        <v>34</v>
      </c>
      <c r="C6" s="9" t="s">
        <v>104</v>
      </c>
      <c r="D6" s="10" t="s">
        <v>129</v>
      </c>
      <c r="E6" s="11">
        <v>43490</v>
      </c>
      <c r="F6" s="9" t="s">
        <v>141</v>
      </c>
      <c r="G6" s="9" t="s">
        <v>101</v>
      </c>
      <c r="H6" s="9" t="s">
        <v>91</v>
      </c>
      <c r="I6" s="15">
        <v>-16</v>
      </c>
      <c r="J6" s="50">
        <f>I6*$A$22*$B$25</f>
        <v>-12.819285922842313</v>
      </c>
      <c r="K6" s="15">
        <f>J6/7%</f>
        <v>-183.13265604060447</v>
      </c>
      <c r="L6" s="108"/>
    </row>
    <row r="7" spans="1:12" s="7" customFormat="1" ht="79.5" customHeight="1" x14ac:dyDescent="0.3">
      <c r="A7" s="9" t="s">
        <v>140</v>
      </c>
      <c r="B7" s="43" t="s">
        <v>82</v>
      </c>
      <c r="C7" s="9" t="s">
        <v>87</v>
      </c>
      <c r="D7" s="10" t="s">
        <v>126</v>
      </c>
      <c r="E7" s="11">
        <v>43556</v>
      </c>
      <c r="F7" s="9" t="s">
        <v>139</v>
      </c>
      <c r="G7" s="9" t="s">
        <v>127</v>
      </c>
      <c r="H7" s="9" t="s">
        <v>128</v>
      </c>
      <c r="I7" s="15">
        <f>J7/A22</f>
        <v>1.3550535439173541</v>
      </c>
      <c r="J7" s="50">
        <v>1.33</v>
      </c>
      <c r="K7" s="15">
        <f>J7/7%</f>
        <v>19</v>
      </c>
      <c r="L7" s="108"/>
    </row>
    <row r="8" spans="1:12" s="7" customFormat="1" ht="60.75" customHeight="1" x14ac:dyDescent="0.3">
      <c r="A8" s="43" t="s">
        <v>138</v>
      </c>
      <c r="B8" s="8" t="s">
        <v>136</v>
      </c>
      <c r="C8" s="43" t="s">
        <v>87</v>
      </c>
      <c r="D8" s="44" t="s">
        <v>125</v>
      </c>
      <c r="E8" s="45">
        <v>43593</v>
      </c>
      <c r="F8" s="43" t="s">
        <v>137</v>
      </c>
      <c r="G8" s="43" t="s">
        <v>93</v>
      </c>
      <c r="H8" s="43" t="s">
        <v>91</v>
      </c>
      <c r="I8" s="46">
        <v>0</v>
      </c>
      <c r="J8" s="51">
        <v>0</v>
      </c>
      <c r="K8" s="46">
        <v>0</v>
      </c>
      <c r="L8" s="108"/>
    </row>
    <row r="9" spans="1:12" s="7" customFormat="1" ht="60.75" customHeight="1" x14ac:dyDescent="0.3">
      <c r="A9" s="43" t="s">
        <v>190</v>
      </c>
      <c r="B9" s="8" t="s">
        <v>187</v>
      </c>
      <c r="C9" s="43" t="s">
        <v>87</v>
      </c>
      <c r="D9" s="44" t="s">
        <v>188</v>
      </c>
      <c r="E9" s="45">
        <v>43728</v>
      </c>
      <c r="F9" s="43" t="s">
        <v>189</v>
      </c>
      <c r="G9" s="43" t="s">
        <v>101</v>
      </c>
      <c r="H9" s="43" t="s">
        <v>91</v>
      </c>
      <c r="I9" s="46">
        <v>-14.15</v>
      </c>
      <c r="J9" s="51">
        <f>I9*A22*B25</f>
        <v>-11.337055988013672</v>
      </c>
      <c r="K9" s="46">
        <f>J9/7%</f>
        <v>-161.95794268590959</v>
      </c>
      <c r="L9" s="108"/>
    </row>
    <row r="10" spans="1:12" s="7" customFormat="1" ht="49.5" customHeight="1" x14ac:dyDescent="0.3">
      <c r="A10" s="43" t="s">
        <v>192</v>
      </c>
      <c r="B10" s="8" t="s">
        <v>196</v>
      </c>
      <c r="C10" s="43" t="s">
        <v>102</v>
      </c>
      <c r="D10" s="44" t="s">
        <v>191</v>
      </c>
      <c r="E10" s="45">
        <v>43738</v>
      </c>
      <c r="F10" s="43" t="s">
        <v>195</v>
      </c>
      <c r="G10" s="43" t="s">
        <v>191</v>
      </c>
      <c r="H10" s="43" t="s">
        <v>128</v>
      </c>
      <c r="I10" s="46">
        <v>27.6</v>
      </c>
      <c r="J10" s="51">
        <v>25.79</v>
      </c>
      <c r="K10" s="46">
        <f>J10/7%</f>
        <v>368.42857142857139</v>
      </c>
      <c r="L10" s="108"/>
    </row>
    <row r="11" spans="1:12" s="7" customFormat="1" ht="60.75" customHeight="1" x14ac:dyDescent="0.3">
      <c r="A11" s="43" t="s">
        <v>35</v>
      </c>
      <c r="B11" s="8" t="s">
        <v>36</v>
      </c>
      <c r="C11" s="43" t="s">
        <v>104</v>
      </c>
      <c r="D11" s="44" t="s">
        <v>151</v>
      </c>
      <c r="E11" s="45">
        <v>43734</v>
      </c>
      <c r="F11" s="43" t="s">
        <v>193</v>
      </c>
      <c r="G11" s="43" t="s">
        <v>101</v>
      </c>
      <c r="H11" s="43" t="s">
        <v>9</v>
      </c>
      <c r="I11" s="46">
        <v>-4.0999999999999996</v>
      </c>
      <c r="J11" s="51">
        <f>I11*B25</f>
        <v>-3.3468212952524925</v>
      </c>
      <c r="K11" s="46">
        <f>J11/7%</f>
        <v>-47.811732789321319</v>
      </c>
      <c r="L11" s="108"/>
    </row>
    <row r="12" spans="1:12" s="7" customFormat="1" ht="47.25" customHeight="1" x14ac:dyDescent="0.3">
      <c r="A12" s="43" t="s">
        <v>28</v>
      </c>
      <c r="B12" s="43" t="s">
        <v>29</v>
      </c>
      <c r="C12" s="43" t="s">
        <v>104</v>
      </c>
      <c r="D12" s="44" t="s">
        <v>124</v>
      </c>
      <c r="E12" s="45">
        <v>43599</v>
      </c>
      <c r="F12" s="43" t="s">
        <v>134</v>
      </c>
      <c r="G12" s="43" t="s">
        <v>101</v>
      </c>
      <c r="H12" s="43" t="s">
        <v>91</v>
      </c>
      <c r="I12" s="46">
        <v>-6.07</v>
      </c>
      <c r="J12" s="51">
        <f>I12*$A$22*$B$25</f>
        <v>-4.8633165969783034</v>
      </c>
      <c r="K12" s="46">
        <f>J12/7%</f>
        <v>-69.475951385404329</v>
      </c>
      <c r="L12" s="108"/>
    </row>
    <row r="13" spans="1:12" s="7" customFormat="1" ht="51.75" customHeight="1" x14ac:dyDescent="0.3">
      <c r="A13" s="43" t="s">
        <v>199</v>
      </c>
      <c r="B13" s="43" t="s">
        <v>197</v>
      </c>
      <c r="C13" s="43" t="s">
        <v>104</v>
      </c>
      <c r="D13" s="44" t="s">
        <v>198</v>
      </c>
      <c r="E13" s="45">
        <v>43738</v>
      </c>
      <c r="F13" s="43" t="s">
        <v>200</v>
      </c>
      <c r="G13" s="43" t="s">
        <v>101</v>
      </c>
      <c r="H13" s="43" t="s">
        <v>91</v>
      </c>
      <c r="I13" s="46">
        <v>-0.42</v>
      </c>
      <c r="J13" s="51">
        <f>I13*A21*B25</f>
        <v>-0.3285034894279133</v>
      </c>
      <c r="K13" s="46">
        <f>J13/7%</f>
        <v>-4.6929069918273321</v>
      </c>
      <c r="L13" s="108"/>
    </row>
    <row r="14" spans="1:12" s="7" customFormat="1" ht="70.5" customHeight="1" x14ac:dyDescent="0.3">
      <c r="A14" s="8" t="s">
        <v>135</v>
      </c>
      <c r="B14" s="8" t="s">
        <v>84</v>
      </c>
      <c r="C14" s="8" t="s">
        <v>95</v>
      </c>
      <c r="D14" s="12" t="s">
        <v>132</v>
      </c>
      <c r="E14" s="13">
        <v>43677</v>
      </c>
      <c r="F14" s="8" t="s">
        <v>133</v>
      </c>
      <c r="G14" s="8" t="s">
        <v>101</v>
      </c>
      <c r="H14" s="8" t="s">
        <v>91</v>
      </c>
      <c r="I14" s="14">
        <v>0</v>
      </c>
      <c r="J14" s="52">
        <v>0</v>
      </c>
      <c r="K14" s="14">
        <v>0</v>
      </c>
      <c r="L14" s="108"/>
    </row>
    <row r="15" spans="1:12" s="7" customFormat="1" ht="60" customHeight="1" x14ac:dyDescent="0.3">
      <c r="A15" s="8" t="s">
        <v>183</v>
      </c>
      <c r="B15" s="8" t="s">
        <v>184</v>
      </c>
      <c r="C15" s="8" t="s">
        <v>116</v>
      </c>
      <c r="D15" s="12" t="s">
        <v>185</v>
      </c>
      <c r="E15" s="13">
        <v>43735</v>
      </c>
      <c r="F15" s="8" t="s">
        <v>194</v>
      </c>
      <c r="G15" s="8" t="s">
        <v>101</v>
      </c>
      <c r="H15" s="8" t="s">
        <v>91</v>
      </c>
      <c r="I15" s="14">
        <v>-534.79999999999995</v>
      </c>
      <c r="J15" s="52">
        <f>I15*A20*B25</f>
        <v>-417.94216966237747</v>
      </c>
      <c r="K15" s="14">
        <f>J15/7%</f>
        <v>-5970.6024237482488</v>
      </c>
      <c r="L15" s="108"/>
    </row>
    <row r="16" spans="1:12" ht="20.25" customHeight="1" x14ac:dyDescent="0.3">
      <c r="A16" s="4"/>
      <c r="B16" s="4"/>
      <c r="C16" s="4"/>
      <c r="D16" s="4"/>
      <c r="E16" s="4"/>
      <c r="F16" s="4"/>
      <c r="G16" s="4"/>
      <c r="H16" s="19"/>
      <c r="I16" s="70" t="s">
        <v>68</v>
      </c>
      <c r="J16" s="57">
        <f>-425.405225</f>
        <v>-425.40522499999997</v>
      </c>
      <c r="K16" s="69">
        <f>SUM(K4:K15)</f>
        <v>-6077.60048270881</v>
      </c>
      <c r="L16" s="69">
        <f>(J16*((1.07)^3)*1.0691)/7%</f>
        <v>-7959.2920834201059</v>
      </c>
    </row>
    <row r="17" spans="1:12" ht="48.75" customHeight="1" x14ac:dyDescent="0.3">
      <c r="G17" s="71"/>
      <c r="H17" s="72"/>
      <c r="I17" s="109" t="s">
        <v>242</v>
      </c>
      <c r="J17" s="110"/>
      <c r="K17" s="110"/>
      <c r="L17" s="110"/>
    </row>
    <row r="18" spans="1:12" ht="35.25" customHeight="1" x14ac:dyDescent="0.3">
      <c r="G18" s="64" t="s">
        <v>205</v>
      </c>
      <c r="H18" s="65">
        <v>-44.22</v>
      </c>
      <c r="I18" s="16"/>
      <c r="J18" s="1"/>
      <c r="K18" s="1"/>
    </row>
    <row r="19" spans="1:12" x14ac:dyDescent="0.3">
      <c r="G19" s="64" t="s">
        <v>131</v>
      </c>
      <c r="H19" s="65">
        <f>-71.451065</f>
        <v>-71.451065</v>
      </c>
      <c r="I19" s="16"/>
      <c r="J19" s="1"/>
      <c r="K19" s="1"/>
    </row>
    <row r="20" spans="1:12" x14ac:dyDescent="0.3">
      <c r="A20" s="6">
        <f>106.72/111.473</f>
        <v>0.95736187238165293</v>
      </c>
      <c r="B20" s="7" t="s">
        <v>186</v>
      </c>
      <c r="I20" s="16"/>
      <c r="J20" s="17"/>
      <c r="K20" s="1"/>
    </row>
    <row r="21" spans="1:12" x14ac:dyDescent="0.3">
      <c r="A21" s="6">
        <f>105.801/110.42</f>
        <v>0.95816880999818876</v>
      </c>
      <c r="B21" t="s">
        <v>117</v>
      </c>
      <c r="C21"/>
      <c r="H21" s="16"/>
      <c r="I21" s="16"/>
      <c r="J21" s="17"/>
      <c r="K21" s="1"/>
    </row>
    <row r="22" spans="1:12" x14ac:dyDescent="0.3">
      <c r="A22" s="6">
        <f>105.801/107.794</f>
        <v>0.98151103029853248</v>
      </c>
      <c r="B22" t="s">
        <v>118</v>
      </c>
      <c r="C22"/>
      <c r="I22" s="42"/>
      <c r="J22" s="49"/>
    </row>
    <row r="23" spans="1:12" x14ac:dyDescent="0.3">
      <c r="A23" t="s">
        <v>108</v>
      </c>
      <c r="B23">
        <f>1/1.07</f>
        <v>0.93457943925233644</v>
      </c>
      <c r="C23"/>
      <c r="I23" s="42"/>
      <c r="J23" s="49"/>
    </row>
    <row r="24" spans="1:12" x14ac:dyDescent="0.3">
      <c r="A24" t="s">
        <v>77</v>
      </c>
      <c r="B24">
        <f>1/(1.07^2)</f>
        <v>0.87343872827321156</v>
      </c>
      <c r="C24"/>
    </row>
    <row r="25" spans="1:12" x14ac:dyDescent="0.3">
      <c r="A25" t="s">
        <v>78</v>
      </c>
      <c r="B25">
        <f>1/(1.07^3)</f>
        <v>0.81629787689085187</v>
      </c>
      <c r="C25"/>
      <c r="I25" s="42"/>
      <c r="J25" s="49"/>
    </row>
    <row r="26" spans="1:12" x14ac:dyDescent="0.3">
      <c r="A26" t="s">
        <v>79</v>
      </c>
      <c r="B26">
        <f>1/(1.07^4)</f>
        <v>0.7628952120475252</v>
      </c>
      <c r="C26"/>
    </row>
    <row r="29" spans="1:12" x14ac:dyDescent="0.3">
      <c r="A29" s="104" t="s">
        <v>235</v>
      </c>
      <c r="B29" s="104"/>
      <c r="C29" s="104"/>
      <c r="D29" s="104"/>
      <c r="E29" s="104"/>
    </row>
    <row r="30" spans="1:12" x14ac:dyDescent="0.3">
      <c r="A30" s="104" t="s">
        <v>234</v>
      </c>
      <c r="B30" s="104"/>
      <c r="C30" s="104"/>
      <c r="D30" s="104"/>
      <c r="E30" s="104"/>
    </row>
  </sheetData>
  <sortState ref="A3:K11">
    <sortCondition ref="E3:E11"/>
  </sortState>
  <mergeCells count="6">
    <mergeCell ref="A30:E30"/>
    <mergeCell ref="A2:L2"/>
    <mergeCell ref="L4:L15"/>
    <mergeCell ref="I17:L17"/>
    <mergeCell ref="A1:L1"/>
    <mergeCell ref="A29:E29"/>
  </mergeCells>
  <pageMargins left="0.25" right="0.25" top="0.75" bottom="0.75" header="0.3" footer="0.3"/>
  <pageSetup paperSize="5" scale="41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40"/>
  <sheetViews>
    <sheetView showGridLines="0" tabSelected="1" topLeftCell="A6" zoomScale="90" zoomScaleNormal="90" workbookViewId="0">
      <selection activeCell="D3" sqref="D3"/>
    </sheetView>
  </sheetViews>
  <sheetFormatPr defaultRowHeight="14.4" x14ac:dyDescent="0.3"/>
  <cols>
    <col min="1" max="1" width="22.88671875" customWidth="1"/>
    <col min="2" max="2" width="12.6640625" style="7" customWidth="1"/>
    <col min="3" max="3" width="19.6640625" style="7" customWidth="1"/>
    <col min="4" max="4" width="68" style="7" customWidth="1"/>
    <col min="5" max="5" width="15" style="20" customWidth="1"/>
    <col min="6" max="6" width="16.5546875" style="7" customWidth="1"/>
    <col min="7" max="7" width="21.5546875" style="7" customWidth="1"/>
    <col min="8" max="8" width="14.44140625" customWidth="1"/>
    <col min="9" max="9" width="25.44140625" customWidth="1"/>
    <col min="10" max="10" width="20.33203125" customWidth="1"/>
    <col min="11" max="11" width="19.109375" customWidth="1"/>
    <col min="12" max="12" width="21.6640625" customWidth="1"/>
  </cols>
  <sheetData>
    <row r="1" spans="1:12" ht="24" customHeight="1" x14ac:dyDescent="0.3">
      <c r="A1" s="102">
        <v>44047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</row>
    <row r="2" spans="1:12" ht="36" customHeight="1" x14ac:dyDescent="0.65">
      <c r="A2" s="112" t="s">
        <v>177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4"/>
    </row>
    <row r="3" spans="1:12" ht="60" customHeight="1" x14ac:dyDescent="0.3">
      <c r="A3" s="3" t="s">
        <v>0</v>
      </c>
      <c r="B3" s="3" t="s">
        <v>1</v>
      </c>
      <c r="C3" s="3" t="s">
        <v>2</v>
      </c>
      <c r="D3" s="3" t="s">
        <v>3</v>
      </c>
      <c r="E3" s="3" t="s">
        <v>90</v>
      </c>
      <c r="F3" s="3" t="s">
        <v>5</v>
      </c>
      <c r="G3" s="3" t="s">
        <v>119</v>
      </c>
      <c r="H3" s="3" t="s">
        <v>4</v>
      </c>
      <c r="I3" s="3" t="s">
        <v>113</v>
      </c>
      <c r="J3" s="3" t="s">
        <v>114</v>
      </c>
      <c r="K3" s="3" t="s">
        <v>115</v>
      </c>
      <c r="L3" s="3" t="s">
        <v>204</v>
      </c>
    </row>
    <row r="4" spans="1:12" ht="18" customHeight="1" x14ac:dyDescent="0.3">
      <c r="A4" s="28" t="s">
        <v>6</v>
      </c>
      <c r="B4" s="27" t="s">
        <v>7</v>
      </c>
      <c r="C4" s="19" t="s">
        <v>87</v>
      </c>
      <c r="D4" s="4" t="s">
        <v>8</v>
      </c>
      <c r="E4" s="54">
        <v>2020</v>
      </c>
      <c r="F4" s="4"/>
      <c r="G4" s="24" t="s">
        <v>101</v>
      </c>
      <c r="H4" s="19" t="s">
        <v>9</v>
      </c>
      <c r="I4" s="18">
        <f>-0.071556</f>
        <v>-7.1555999999999995E-2</v>
      </c>
      <c r="J4" s="25">
        <f>I4*$B$32*$B$37</f>
        <v>-5.2306176434142787E-2</v>
      </c>
      <c r="K4" s="18">
        <f>J4/7%</f>
        <v>-0.74723109191632542</v>
      </c>
      <c r="L4" s="115"/>
    </row>
    <row r="5" spans="1:12" ht="39" customHeight="1" x14ac:dyDescent="0.3">
      <c r="A5" s="73" t="s">
        <v>162</v>
      </c>
      <c r="B5" s="74" t="s">
        <v>11</v>
      </c>
      <c r="C5" s="75" t="s">
        <v>87</v>
      </c>
      <c r="D5" s="64" t="s">
        <v>12</v>
      </c>
      <c r="E5" s="79">
        <v>43901</v>
      </c>
      <c r="F5" s="64" t="s">
        <v>215</v>
      </c>
      <c r="G5" s="76" t="s">
        <v>101</v>
      </c>
      <c r="H5" s="75" t="s">
        <v>10</v>
      </c>
      <c r="I5" s="57">
        <v>38.738885000000003</v>
      </c>
      <c r="J5" s="57">
        <v>38.738885000000003</v>
      </c>
      <c r="K5" s="57">
        <f>J5/7%</f>
        <v>553.41264285714283</v>
      </c>
      <c r="L5" s="116"/>
    </row>
    <row r="6" spans="1:12" ht="35.25" customHeight="1" x14ac:dyDescent="0.3">
      <c r="A6" s="88"/>
      <c r="B6" s="89" t="s">
        <v>244</v>
      </c>
      <c r="C6" s="90" t="s">
        <v>87</v>
      </c>
      <c r="D6" s="91" t="s">
        <v>239</v>
      </c>
      <c r="E6" s="96">
        <v>2020</v>
      </c>
      <c r="F6" s="91"/>
      <c r="G6" s="98" t="s">
        <v>127</v>
      </c>
      <c r="H6" s="90" t="s">
        <v>10</v>
      </c>
      <c r="I6" s="94">
        <v>2.6</v>
      </c>
      <c r="J6" s="95">
        <f>I6*$B$33*$B$37</f>
        <v>1.9468541705251179</v>
      </c>
      <c r="K6" s="94">
        <f>J6/7%</f>
        <v>27.812202436073111</v>
      </c>
      <c r="L6" s="116"/>
    </row>
    <row r="7" spans="1:12" ht="25.5" customHeight="1" x14ac:dyDescent="0.3">
      <c r="A7" s="73" t="s">
        <v>165</v>
      </c>
      <c r="B7" s="74" t="s">
        <v>62</v>
      </c>
      <c r="C7" s="75" t="s">
        <v>87</v>
      </c>
      <c r="D7" s="64" t="s">
        <v>142</v>
      </c>
      <c r="E7" s="79">
        <v>43784</v>
      </c>
      <c r="F7" s="64" t="s">
        <v>203</v>
      </c>
      <c r="G7" s="76" t="s">
        <v>101</v>
      </c>
      <c r="H7" s="75" t="s">
        <v>9</v>
      </c>
      <c r="I7" s="57">
        <v>-7.57</v>
      </c>
      <c r="J7" s="65">
        <v>-7.57</v>
      </c>
      <c r="K7" s="57">
        <f>J7/7%</f>
        <v>-108.14285714285714</v>
      </c>
      <c r="L7" s="116"/>
    </row>
    <row r="8" spans="1:12" ht="29.25" customHeight="1" x14ac:dyDescent="0.3">
      <c r="A8" s="28" t="s">
        <v>167</v>
      </c>
      <c r="B8" s="27" t="s">
        <v>143</v>
      </c>
      <c r="C8" s="19" t="s">
        <v>87</v>
      </c>
      <c r="D8" s="4" t="s">
        <v>144</v>
      </c>
      <c r="E8" s="54">
        <v>2020</v>
      </c>
      <c r="F8" s="4"/>
      <c r="G8" s="24" t="s">
        <v>101</v>
      </c>
      <c r="H8" s="19" t="s">
        <v>9</v>
      </c>
      <c r="I8" s="18">
        <v>0</v>
      </c>
      <c r="J8" s="25">
        <v>0</v>
      </c>
      <c r="K8" s="18">
        <v>0</v>
      </c>
      <c r="L8" s="116"/>
    </row>
    <row r="9" spans="1:12" ht="21" customHeight="1" x14ac:dyDescent="0.3">
      <c r="A9" s="28" t="s">
        <v>166</v>
      </c>
      <c r="B9" s="27" t="s">
        <v>76</v>
      </c>
      <c r="C9" s="19" t="s">
        <v>95</v>
      </c>
      <c r="D9" s="4" t="s">
        <v>146</v>
      </c>
      <c r="E9" s="54">
        <v>2020</v>
      </c>
      <c r="F9" s="4"/>
      <c r="G9" s="24" t="s">
        <v>101</v>
      </c>
      <c r="H9" s="19" t="s">
        <v>9</v>
      </c>
      <c r="I9" s="18">
        <v>0</v>
      </c>
      <c r="J9" s="25">
        <v>0</v>
      </c>
      <c r="K9" s="18">
        <v>0</v>
      </c>
      <c r="L9" s="116"/>
    </row>
    <row r="10" spans="1:12" ht="30.75" customHeight="1" x14ac:dyDescent="0.3">
      <c r="A10" s="88"/>
      <c r="B10" s="89" t="s">
        <v>245</v>
      </c>
      <c r="C10" s="90" t="s">
        <v>95</v>
      </c>
      <c r="D10" s="91" t="s">
        <v>256</v>
      </c>
      <c r="E10" s="96">
        <v>2020</v>
      </c>
      <c r="F10" s="91"/>
      <c r="G10" s="93" t="s">
        <v>101</v>
      </c>
      <c r="H10" s="90" t="s">
        <v>10</v>
      </c>
      <c r="I10" s="94">
        <v>12</v>
      </c>
      <c r="J10" s="95">
        <v>12</v>
      </c>
      <c r="K10" s="94">
        <f>J10/7%</f>
        <v>171.42857142857142</v>
      </c>
      <c r="L10" s="116"/>
    </row>
    <row r="11" spans="1:12" ht="33" customHeight="1" x14ac:dyDescent="0.3">
      <c r="A11" s="73" t="s">
        <v>140</v>
      </c>
      <c r="B11" s="74" t="s">
        <v>147</v>
      </c>
      <c r="C11" s="75" t="s">
        <v>95</v>
      </c>
      <c r="D11" s="64" t="s">
        <v>148</v>
      </c>
      <c r="E11" s="79">
        <v>43978</v>
      </c>
      <c r="F11" s="64" t="s">
        <v>220</v>
      </c>
      <c r="G11" s="76" t="s">
        <v>101</v>
      </c>
      <c r="H11" s="75" t="s">
        <v>9</v>
      </c>
      <c r="I11" s="65">
        <v>-319</v>
      </c>
      <c r="J11" s="65">
        <v>-319</v>
      </c>
      <c r="K11" s="57">
        <f>J11/7%</f>
        <v>-4557.1428571428569</v>
      </c>
      <c r="L11" s="116"/>
    </row>
    <row r="12" spans="1:12" s="87" customFormat="1" ht="33" customHeight="1" x14ac:dyDescent="0.3">
      <c r="A12" s="88"/>
      <c r="B12" s="89" t="s">
        <v>246</v>
      </c>
      <c r="C12" s="90" t="s">
        <v>95</v>
      </c>
      <c r="D12" s="91" t="s">
        <v>247</v>
      </c>
      <c r="E12" s="92"/>
      <c r="F12" s="91"/>
      <c r="G12" s="93" t="s">
        <v>101</v>
      </c>
      <c r="H12" s="90" t="s">
        <v>10</v>
      </c>
      <c r="I12" s="94">
        <v>162.63</v>
      </c>
      <c r="J12" s="95">
        <f>I12*'FY2021 '!B15*'FY2021 '!B21</f>
        <v>116.94639977109911</v>
      </c>
      <c r="K12" s="94">
        <f>J12/7%</f>
        <v>1670.6628538728442</v>
      </c>
      <c r="L12" s="116"/>
    </row>
    <row r="13" spans="1:12" ht="28.5" customHeight="1" x14ac:dyDescent="0.3">
      <c r="A13" s="28" t="s">
        <v>163</v>
      </c>
      <c r="B13" s="27" t="s">
        <v>149</v>
      </c>
      <c r="C13" s="19" t="s">
        <v>95</v>
      </c>
      <c r="D13" s="4" t="s">
        <v>150</v>
      </c>
      <c r="E13" s="54">
        <v>2020</v>
      </c>
      <c r="F13" s="4"/>
      <c r="G13" s="24" t="s">
        <v>101</v>
      </c>
      <c r="H13" s="19" t="s">
        <v>9</v>
      </c>
      <c r="I13" s="18">
        <v>0</v>
      </c>
      <c r="J13" s="25">
        <v>0</v>
      </c>
      <c r="K13" s="18">
        <v>0</v>
      </c>
      <c r="L13" s="116"/>
    </row>
    <row r="14" spans="1:12" ht="28.5" customHeight="1" x14ac:dyDescent="0.3">
      <c r="A14" s="73"/>
      <c r="B14" s="74" t="s">
        <v>217</v>
      </c>
      <c r="C14" s="75" t="s">
        <v>102</v>
      </c>
      <c r="D14" s="64" t="s">
        <v>218</v>
      </c>
      <c r="E14" s="79">
        <v>43844</v>
      </c>
      <c r="F14" s="64" t="s">
        <v>219</v>
      </c>
      <c r="G14" s="76" t="s">
        <v>101</v>
      </c>
      <c r="H14" s="75" t="s">
        <v>9</v>
      </c>
      <c r="I14" s="57">
        <v>0</v>
      </c>
      <c r="J14" s="65">
        <v>0</v>
      </c>
      <c r="K14" s="57">
        <v>0</v>
      </c>
      <c r="L14" s="116"/>
    </row>
    <row r="15" spans="1:12" ht="36" customHeight="1" x14ac:dyDescent="0.3">
      <c r="A15" s="28" t="s">
        <v>30</v>
      </c>
      <c r="B15" s="27" t="s">
        <v>31</v>
      </c>
      <c r="C15" s="19" t="s">
        <v>104</v>
      </c>
      <c r="D15" s="4" t="s">
        <v>32</v>
      </c>
      <c r="E15" s="54">
        <v>2020</v>
      </c>
      <c r="F15" s="4"/>
      <c r="G15" s="24" t="s">
        <v>101</v>
      </c>
      <c r="H15" s="19" t="s">
        <v>9</v>
      </c>
      <c r="I15" s="18">
        <v>-18.600000000000001</v>
      </c>
      <c r="J15" s="25">
        <f>I15*$B$37</f>
        <v>-14.18985094408397</v>
      </c>
      <c r="K15" s="18">
        <f>J15/7%</f>
        <v>-202.71215634405669</v>
      </c>
      <c r="L15" s="116"/>
    </row>
    <row r="16" spans="1:12" ht="20.25" customHeight="1" x14ac:dyDescent="0.3">
      <c r="A16" s="73" t="s">
        <v>169</v>
      </c>
      <c r="B16" s="74" t="s">
        <v>43</v>
      </c>
      <c r="C16" s="75" t="s">
        <v>104</v>
      </c>
      <c r="D16" s="64" t="s">
        <v>223</v>
      </c>
      <c r="E16" s="79">
        <v>44026</v>
      </c>
      <c r="F16" s="64" t="s">
        <v>222</v>
      </c>
      <c r="G16" s="76" t="s">
        <v>101</v>
      </c>
      <c r="H16" s="75" t="s">
        <v>9</v>
      </c>
      <c r="I16" s="57">
        <v>0</v>
      </c>
      <c r="J16" s="65">
        <v>0</v>
      </c>
      <c r="K16" s="57">
        <v>0</v>
      </c>
      <c r="L16" s="116"/>
    </row>
    <row r="17" spans="1:12" ht="20.25" customHeight="1" x14ac:dyDescent="0.3">
      <c r="A17" s="28"/>
      <c r="B17" s="27" t="s">
        <v>181</v>
      </c>
      <c r="C17" s="19" t="s">
        <v>104</v>
      </c>
      <c r="D17" s="4" t="s">
        <v>182</v>
      </c>
      <c r="E17" s="54">
        <v>2020</v>
      </c>
      <c r="F17" s="4"/>
      <c r="G17" s="24" t="s">
        <v>101</v>
      </c>
      <c r="H17" s="19" t="s">
        <v>9</v>
      </c>
      <c r="I17" s="18">
        <v>-2.2999999999999998</v>
      </c>
      <c r="J17" s="18">
        <f>-1.75</f>
        <v>-1.75</v>
      </c>
      <c r="K17" s="18">
        <f>J17/7%</f>
        <v>-24.999999999999996</v>
      </c>
      <c r="L17" s="116"/>
    </row>
    <row r="18" spans="1:12" ht="27.75" customHeight="1" x14ac:dyDescent="0.3">
      <c r="A18" s="28" t="s">
        <v>170</v>
      </c>
      <c r="B18" s="27" t="s">
        <v>50</v>
      </c>
      <c r="C18" s="19" t="s">
        <v>116</v>
      </c>
      <c r="D18" s="4" t="s">
        <v>51</v>
      </c>
      <c r="E18" s="54">
        <v>2020</v>
      </c>
      <c r="F18" s="4"/>
      <c r="G18" s="24" t="s">
        <v>101</v>
      </c>
      <c r="H18" s="19" t="s">
        <v>9</v>
      </c>
      <c r="I18" s="18">
        <v>0</v>
      </c>
      <c r="J18" s="25">
        <v>0</v>
      </c>
      <c r="K18" s="18">
        <v>0</v>
      </c>
      <c r="L18" s="116"/>
    </row>
    <row r="19" spans="1:12" ht="37.5" customHeight="1" x14ac:dyDescent="0.3">
      <c r="A19" s="73" t="s">
        <v>171</v>
      </c>
      <c r="B19" s="74" t="s">
        <v>65</v>
      </c>
      <c r="C19" s="75" t="s">
        <v>116</v>
      </c>
      <c r="D19" s="64" t="s">
        <v>52</v>
      </c>
      <c r="E19" s="79">
        <v>43846</v>
      </c>
      <c r="F19" s="64" t="s">
        <v>210</v>
      </c>
      <c r="G19" s="76" t="s">
        <v>101</v>
      </c>
      <c r="H19" s="75" t="s">
        <v>9</v>
      </c>
      <c r="I19" s="57">
        <v>0</v>
      </c>
      <c r="J19" s="65">
        <v>0</v>
      </c>
      <c r="K19" s="57">
        <v>0</v>
      </c>
      <c r="L19" s="116"/>
    </row>
    <row r="20" spans="1:12" ht="37.5" customHeight="1" x14ac:dyDescent="0.3">
      <c r="A20" s="73" t="s">
        <v>172</v>
      </c>
      <c r="B20" s="74" t="s">
        <v>53</v>
      </c>
      <c r="C20" s="75" t="s">
        <v>116</v>
      </c>
      <c r="D20" s="64" t="s">
        <v>152</v>
      </c>
      <c r="E20" s="77">
        <v>43815</v>
      </c>
      <c r="F20" s="64" t="s">
        <v>209</v>
      </c>
      <c r="G20" s="76" t="s">
        <v>101</v>
      </c>
      <c r="H20" s="75" t="s">
        <v>9</v>
      </c>
      <c r="I20" s="57">
        <v>0</v>
      </c>
      <c r="J20" s="65">
        <v>0</v>
      </c>
      <c r="K20" s="57">
        <v>0</v>
      </c>
      <c r="L20" s="116"/>
    </row>
    <row r="21" spans="1:12" ht="27.75" customHeight="1" x14ac:dyDescent="0.3">
      <c r="A21" s="28" t="s">
        <v>173</v>
      </c>
      <c r="B21" s="27" t="s">
        <v>153</v>
      </c>
      <c r="C21" s="19" t="s">
        <v>116</v>
      </c>
      <c r="D21" s="4" t="s">
        <v>154</v>
      </c>
      <c r="E21" s="54">
        <v>2020</v>
      </c>
      <c r="F21" s="4"/>
      <c r="G21" s="24" t="s">
        <v>101</v>
      </c>
      <c r="H21" s="19" t="s">
        <v>9</v>
      </c>
      <c r="I21" s="18">
        <v>0</v>
      </c>
      <c r="J21" s="25">
        <v>0</v>
      </c>
      <c r="K21" s="18">
        <v>0</v>
      </c>
      <c r="L21" s="116"/>
    </row>
    <row r="22" spans="1:12" ht="27.75" customHeight="1" x14ac:dyDescent="0.3">
      <c r="A22" s="73" t="s">
        <v>174</v>
      </c>
      <c r="B22" s="74" t="s">
        <v>155</v>
      </c>
      <c r="C22" s="75" t="s">
        <v>116</v>
      </c>
      <c r="D22" s="64" t="s">
        <v>156</v>
      </c>
      <c r="E22" s="79">
        <v>43990</v>
      </c>
      <c r="F22" s="64"/>
      <c r="G22" s="76" t="s">
        <v>101</v>
      </c>
      <c r="H22" s="75" t="s">
        <v>9</v>
      </c>
      <c r="I22" s="57">
        <v>0</v>
      </c>
      <c r="J22" s="65">
        <v>0</v>
      </c>
      <c r="K22" s="57">
        <v>0</v>
      </c>
      <c r="L22" s="116"/>
    </row>
    <row r="23" spans="1:12" ht="42.6" customHeight="1" x14ac:dyDescent="0.3">
      <c r="A23" s="88"/>
      <c r="B23" s="90" t="s">
        <v>252</v>
      </c>
      <c r="C23" s="90" t="s">
        <v>157</v>
      </c>
      <c r="D23" s="97" t="s">
        <v>253</v>
      </c>
      <c r="E23" s="92"/>
      <c r="F23" s="91"/>
      <c r="G23" s="93" t="s">
        <v>101</v>
      </c>
      <c r="H23" s="90" t="s">
        <v>10</v>
      </c>
      <c r="I23" s="94">
        <v>4.4219999999999997</v>
      </c>
      <c r="J23" s="95">
        <f>I23*'FY2021 '!B15*'FY2021 '!B21</f>
        <v>3.1798375440435365</v>
      </c>
      <c r="K23" s="94">
        <f>J23/7%</f>
        <v>45.426250629193376</v>
      </c>
      <c r="L23" s="116"/>
    </row>
    <row r="24" spans="1:12" ht="28.5" customHeight="1" x14ac:dyDescent="0.3">
      <c r="A24" s="73" t="s">
        <v>175</v>
      </c>
      <c r="B24" s="74" t="s">
        <v>57</v>
      </c>
      <c r="C24" s="75" t="s">
        <v>157</v>
      </c>
      <c r="D24" s="64" t="s">
        <v>58</v>
      </c>
      <c r="E24" s="79">
        <v>43896</v>
      </c>
      <c r="F24" s="64" t="s">
        <v>216</v>
      </c>
      <c r="G24" s="76" t="s">
        <v>101</v>
      </c>
      <c r="H24" s="75" t="s">
        <v>10</v>
      </c>
      <c r="I24" s="57">
        <v>7.8265219999999998</v>
      </c>
      <c r="J24" s="78">
        <f>I24</f>
        <v>7.8265219999999998</v>
      </c>
      <c r="K24" s="57">
        <f>J24/7%</f>
        <v>111.80745714285713</v>
      </c>
      <c r="L24" s="116"/>
    </row>
    <row r="25" spans="1:12" ht="29.25" customHeight="1" x14ac:dyDescent="0.3">
      <c r="A25" s="73" t="s">
        <v>59</v>
      </c>
      <c r="B25" s="74" t="s">
        <v>60</v>
      </c>
      <c r="C25" s="75" t="s">
        <v>158</v>
      </c>
      <c r="D25" s="64" t="s">
        <v>61</v>
      </c>
      <c r="E25" s="79">
        <v>44014</v>
      </c>
      <c r="F25" s="64" t="s">
        <v>221</v>
      </c>
      <c r="G25" s="76" t="s">
        <v>101</v>
      </c>
      <c r="H25" s="75" t="s">
        <v>9</v>
      </c>
      <c r="I25" s="57">
        <v>0</v>
      </c>
      <c r="J25" s="65">
        <v>0</v>
      </c>
      <c r="K25" s="57">
        <v>0</v>
      </c>
      <c r="L25" s="116"/>
    </row>
    <row r="26" spans="1:12" ht="27.75" customHeight="1" x14ac:dyDescent="0.3">
      <c r="A26" s="28" t="s">
        <v>176</v>
      </c>
      <c r="B26" s="27" t="s">
        <v>159</v>
      </c>
      <c r="C26" s="19" t="s">
        <v>158</v>
      </c>
      <c r="D26" s="4" t="s">
        <v>160</v>
      </c>
      <c r="E26" s="54">
        <v>2020</v>
      </c>
      <c r="F26" s="4"/>
      <c r="G26" s="24" t="s">
        <v>101</v>
      </c>
      <c r="H26" s="19" t="s">
        <v>9</v>
      </c>
      <c r="I26" s="18">
        <v>0</v>
      </c>
      <c r="J26" s="25">
        <v>0</v>
      </c>
      <c r="K26" s="18">
        <v>0</v>
      </c>
      <c r="L26" s="117"/>
    </row>
    <row r="27" spans="1:12" ht="31.5" customHeight="1" x14ac:dyDescent="0.3">
      <c r="A27" s="58"/>
      <c r="B27" s="56"/>
      <c r="C27" s="56"/>
      <c r="D27" s="56"/>
      <c r="E27" s="4"/>
      <c r="F27" s="61"/>
      <c r="G27" s="62" t="s">
        <v>202</v>
      </c>
      <c r="H27" s="59">
        <f>'FY2019 '!J16-'FY2019 '!H17+'FY2019 '!H18</f>
        <v>-469.625225</v>
      </c>
      <c r="I27" s="29" t="s">
        <v>68</v>
      </c>
      <c r="J27" s="30">
        <f>SUM(J4:J26)</f>
        <v>-161.92365863485031</v>
      </c>
      <c r="K27" s="68">
        <f>SUM(K4:K26)</f>
        <v>-2313.1951233550053</v>
      </c>
      <c r="L27" s="69">
        <f>(H29*((1.07)^3)*1.06908)/7%</f>
        <v>-5706.4147997742857</v>
      </c>
    </row>
    <row r="28" spans="1:12" ht="53.25" customHeight="1" x14ac:dyDescent="0.3">
      <c r="A28" s="48"/>
      <c r="F28" s="47"/>
      <c r="G28" s="21"/>
      <c r="I28" s="118" t="s">
        <v>243</v>
      </c>
      <c r="J28" s="119"/>
      <c r="K28" s="119"/>
      <c r="L28" s="120"/>
    </row>
    <row r="29" spans="1:12" ht="29.25" customHeight="1" x14ac:dyDescent="0.3">
      <c r="A29" s="48"/>
      <c r="F29" s="47"/>
      <c r="G29" s="64" t="s">
        <v>206</v>
      </c>
      <c r="H29" s="65">
        <v>-305</v>
      </c>
      <c r="I29" s="67"/>
      <c r="J29" s="60"/>
      <c r="K29" s="60"/>
      <c r="L29" s="66"/>
    </row>
    <row r="30" spans="1:12" ht="18.75" customHeight="1" x14ac:dyDescent="0.3">
      <c r="A30" s="48"/>
      <c r="F30" s="47"/>
      <c r="G30" s="64" t="s">
        <v>202</v>
      </c>
      <c r="H30" s="65">
        <f>H27</f>
        <v>-469.625225</v>
      </c>
      <c r="I30" s="67"/>
      <c r="J30" s="60"/>
      <c r="K30" s="60"/>
      <c r="L30" s="66"/>
    </row>
    <row r="31" spans="1:12" ht="31.5" customHeight="1" x14ac:dyDescent="0.3">
      <c r="A31" s="48"/>
      <c r="F31" s="47"/>
      <c r="G31" s="21"/>
      <c r="I31" s="63"/>
      <c r="J31" s="60"/>
      <c r="K31" s="60"/>
    </row>
    <row r="32" spans="1:12" ht="28.8" x14ac:dyDescent="0.3">
      <c r="B32" s="6">
        <f>105.801/110.42</f>
        <v>0.95816880999818876</v>
      </c>
      <c r="C32" s="7" t="s">
        <v>117</v>
      </c>
      <c r="E32" s="22"/>
      <c r="F32" s="23"/>
      <c r="G32" s="23"/>
    </row>
    <row r="33" spans="2:8" ht="28.8" x14ac:dyDescent="0.3">
      <c r="B33" s="6">
        <f>105.801/107.794</f>
        <v>0.98151103029853248</v>
      </c>
      <c r="C33" s="7" t="s">
        <v>118</v>
      </c>
      <c r="H33">
        <f>305</f>
        <v>305</v>
      </c>
    </row>
    <row r="34" spans="2:8" x14ac:dyDescent="0.3">
      <c r="B34" s="7">
        <f>106.72/108.82</f>
        <v>0.98070207682411326</v>
      </c>
      <c r="C34" s="7">
        <v>2017</v>
      </c>
      <c r="H34">
        <f>H33*(1.07)^3</f>
        <v>373.63811500000003</v>
      </c>
    </row>
    <row r="35" spans="2:8" x14ac:dyDescent="0.3">
      <c r="B35" s="7">
        <f>1/(1.07^2)</f>
        <v>0.87343872827321156</v>
      </c>
      <c r="C35" s="7">
        <v>2018</v>
      </c>
      <c r="H35">
        <f>H34*1.06908</f>
        <v>399.44903598420007</v>
      </c>
    </row>
    <row r="36" spans="2:8" x14ac:dyDescent="0.3">
      <c r="B36" s="7">
        <f>1/(1.07^3)</f>
        <v>0.81629787689085187</v>
      </c>
      <c r="C36" s="7">
        <v>2019</v>
      </c>
      <c r="H36">
        <f>H35/7%</f>
        <v>5706.4147997742857</v>
      </c>
    </row>
    <row r="37" spans="2:8" s="7" customFormat="1" x14ac:dyDescent="0.3">
      <c r="B37" s="7">
        <f>1/(1.07^4)</f>
        <v>0.7628952120475252</v>
      </c>
      <c r="C37" s="7">
        <v>2020</v>
      </c>
      <c r="E37" s="20"/>
    </row>
    <row r="39" spans="2:8" x14ac:dyDescent="0.3">
      <c r="G39" s="55"/>
    </row>
    <row r="40" spans="2:8" x14ac:dyDescent="0.3">
      <c r="G40" s="55"/>
    </row>
  </sheetData>
  <mergeCells count="4">
    <mergeCell ref="A2:L2"/>
    <mergeCell ref="L4:L26"/>
    <mergeCell ref="I28:L28"/>
    <mergeCell ref="A1:L1"/>
  </mergeCells>
  <pageMargins left="0.25" right="0.25" top="0.75" bottom="0.75" header="0.3" footer="0.3"/>
  <pageSetup paperSize="5" scale="45" orientation="landscape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3"/>
  <sheetViews>
    <sheetView showGridLines="0" zoomScale="90" zoomScaleNormal="90" workbookViewId="0">
      <selection sqref="A1:L1"/>
    </sheetView>
  </sheetViews>
  <sheetFormatPr defaultRowHeight="14.4" x14ac:dyDescent="0.3"/>
  <cols>
    <col min="1" max="1" width="22.88671875" customWidth="1"/>
    <col min="2" max="2" width="12.6640625" style="7" customWidth="1"/>
    <col min="3" max="3" width="19.6640625" style="7" customWidth="1"/>
    <col min="4" max="4" width="68" style="7" customWidth="1"/>
    <col min="5" max="5" width="15" style="20" customWidth="1"/>
    <col min="6" max="6" width="16.5546875" style="7" customWidth="1"/>
    <col min="7" max="7" width="21.5546875" style="7" customWidth="1"/>
    <col min="8" max="8" width="14.44140625" customWidth="1"/>
    <col min="9" max="9" width="25.44140625" customWidth="1"/>
    <col min="10" max="10" width="20.33203125" customWidth="1"/>
    <col min="11" max="11" width="19.109375" customWidth="1"/>
    <col min="12" max="12" width="21.6640625" customWidth="1"/>
  </cols>
  <sheetData>
    <row r="1" spans="1:12" ht="24" customHeight="1" x14ac:dyDescent="0.3">
      <c r="A1" s="102">
        <v>44047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</row>
    <row r="2" spans="1:12" ht="36" customHeight="1" x14ac:dyDescent="0.65">
      <c r="A2" s="112" t="s">
        <v>236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4"/>
    </row>
    <row r="3" spans="1:12" ht="60" customHeight="1" x14ac:dyDescent="0.3">
      <c r="A3" s="3" t="s">
        <v>0</v>
      </c>
      <c r="B3" s="3" t="s">
        <v>1</v>
      </c>
      <c r="C3" s="3" t="s">
        <v>2</v>
      </c>
      <c r="D3" s="3" t="s">
        <v>3</v>
      </c>
      <c r="E3" s="3" t="s">
        <v>90</v>
      </c>
      <c r="F3" s="3" t="s">
        <v>5</v>
      </c>
      <c r="G3" s="3" t="s">
        <v>119</v>
      </c>
      <c r="H3" s="3" t="s">
        <v>4</v>
      </c>
      <c r="I3" s="3" t="s">
        <v>113</v>
      </c>
      <c r="J3" s="3" t="s">
        <v>114</v>
      </c>
      <c r="K3" s="3" t="s">
        <v>115</v>
      </c>
      <c r="L3" s="3" t="s">
        <v>204</v>
      </c>
    </row>
    <row r="4" spans="1:12" s="87" customFormat="1" ht="35.25" customHeight="1" x14ac:dyDescent="0.3">
      <c r="A4" s="85" t="s">
        <v>164</v>
      </c>
      <c r="B4" s="27" t="s">
        <v>63</v>
      </c>
      <c r="C4" s="19" t="s">
        <v>87</v>
      </c>
      <c r="D4" s="4" t="s">
        <v>69</v>
      </c>
      <c r="E4" s="54">
        <v>2021</v>
      </c>
      <c r="F4" s="4"/>
      <c r="G4" s="83" t="s">
        <v>101</v>
      </c>
      <c r="H4" s="19" t="s">
        <v>9</v>
      </c>
      <c r="I4" s="86">
        <v>-3.24</v>
      </c>
      <c r="J4" s="25">
        <f>I4*$B$15*$B$22</f>
        <v>-2.1774461682033879</v>
      </c>
      <c r="K4" s="86">
        <f>J4/7%</f>
        <v>-31.106373831476965</v>
      </c>
      <c r="L4" s="116"/>
    </row>
    <row r="5" spans="1:12" s="87" customFormat="1" ht="21" customHeight="1" x14ac:dyDescent="0.3">
      <c r="A5" s="85" t="s">
        <v>168</v>
      </c>
      <c r="B5" s="27" t="s">
        <v>13</v>
      </c>
      <c r="C5" s="19" t="s">
        <v>95</v>
      </c>
      <c r="D5" s="4" t="s">
        <v>145</v>
      </c>
      <c r="E5" s="54">
        <v>2021</v>
      </c>
      <c r="F5" s="4"/>
      <c r="G5" s="24" t="s">
        <v>101</v>
      </c>
      <c r="H5" s="19" t="s">
        <v>128</v>
      </c>
      <c r="I5" s="25">
        <v>5.6800000000000003E-2</v>
      </c>
      <c r="J5" s="25">
        <f>I5*B15*B22</f>
        <v>3.8172513072207544E-2</v>
      </c>
      <c r="K5" s="86">
        <f>J5/7%</f>
        <v>0.54532161531725054</v>
      </c>
      <c r="L5" s="116"/>
    </row>
    <row r="6" spans="1:12" ht="28.5" customHeight="1" x14ac:dyDescent="0.3">
      <c r="A6" s="85"/>
      <c r="B6" s="27" t="s">
        <v>248</v>
      </c>
      <c r="C6" s="19" t="s">
        <v>95</v>
      </c>
      <c r="D6" s="4" t="s">
        <v>249</v>
      </c>
      <c r="E6" s="54">
        <v>2021</v>
      </c>
      <c r="F6" s="4"/>
      <c r="G6" s="24" t="s">
        <v>251</v>
      </c>
      <c r="H6" s="19" t="s">
        <v>250</v>
      </c>
      <c r="I6" s="86">
        <f>0.0568</f>
        <v>5.6800000000000003E-2</v>
      </c>
      <c r="J6" s="25">
        <f>I6*B15*B22</f>
        <v>3.8172513072207544E-2</v>
      </c>
      <c r="K6" s="86">
        <f>J6/7%</f>
        <v>0.54532161531725054</v>
      </c>
      <c r="L6" s="116"/>
    </row>
    <row r="7" spans="1:12" ht="27" customHeight="1" x14ac:dyDescent="0.3">
      <c r="A7" s="85"/>
      <c r="B7" s="27" t="s">
        <v>254</v>
      </c>
      <c r="C7" s="19" t="s">
        <v>104</v>
      </c>
      <c r="D7" s="4" t="s">
        <v>255</v>
      </c>
      <c r="E7" s="54">
        <v>2021</v>
      </c>
      <c r="F7" s="4"/>
      <c r="G7" s="24" t="s">
        <v>101</v>
      </c>
      <c r="H7" s="19" t="s">
        <v>128</v>
      </c>
      <c r="I7" s="86">
        <v>0</v>
      </c>
      <c r="J7" s="25">
        <v>0</v>
      </c>
      <c r="K7" s="86">
        <v>0</v>
      </c>
      <c r="L7" s="116"/>
    </row>
    <row r="8" spans="1:12" ht="27.75" customHeight="1" x14ac:dyDescent="0.3">
      <c r="A8" s="85" t="s">
        <v>170</v>
      </c>
      <c r="B8" s="27" t="s">
        <v>50</v>
      </c>
      <c r="C8" s="19" t="s">
        <v>116</v>
      </c>
      <c r="D8" s="4" t="s">
        <v>51</v>
      </c>
      <c r="E8" s="54">
        <v>2021</v>
      </c>
      <c r="F8" s="4"/>
      <c r="G8" s="24" t="s">
        <v>101</v>
      </c>
      <c r="H8" s="19" t="s">
        <v>9</v>
      </c>
      <c r="I8" s="86">
        <v>0</v>
      </c>
      <c r="J8" s="25">
        <v>0</v>
      </c>
      <c r="K8" s="86">
        <v>0</v>
      </c>
      <c r="L8" s="116"/>
    </row>
    <row r="9" spans="1:12" ht="27.75" customHeight="1" x14ac:dyDescent="0.3">
      <c r="A9" s="85" t="s">
        <v>176</v>
      </c>
      <c r="B9" s="27" t="s">
        <v>159</v>
      </c>
      <c r="C9" s="19" t="s">
        <v>158</v>
      </c>
      <c r="D9" s="4" t="s">
        <v>160</v>
      </c>
      <c r="E9" s="54">
        <v>2021</v>
      </c>
      <c r="F9" s="4"/>
      <c r="G9" s="24" t="s">
        <v>101</v>
      </c>
      <c r="H9" s="19" t="s">
        <v>9</v>
      </c>
      <c r="I9" s="86">
        <v>0</v>
      </c>
      <c r="J9" s="25">
        <v>0</v>
      </c>
      <c r="K9" s="86">
        <v>0</v>
      </c>
      <c r="L9" s="117"/>
    </row>
    <row r="10" spans="1:12" ht="31.5" customHeight="1" x14ac:dyDescent="0.3">
      <c r="A10" s="58"/>
      <c r="B10" s="84"/>
      <c r="C10" s="84"/>
      <c r="D10" s="84"/>
      <c r="E10" s="4"/>
      <c r="F10" s="61"/>
      <c r="G10" s="62" t="s">
        <v>237</v>
      </c>
      <c r="H10" s="59">
        <f>'FY2020'!J27-'FY2020'!H29+'FY2020'!H30</f>
        <v>-326.54888363485031</v>
      </c>
      <c r="I10" s="29" t="s">
        <v>68</v>
      </c>
      <c r="J10" s="30">
        <f>SUM(J4:J9)</f>
        <v>-2.1011011420589725</v>
      </c>
      <c r="K10" s="68">
        <f>SUM(K4:K9)</f>
        <v>-30.015730600842467</v>
      </c>
      <c r="L10" s="69">
        <f>(H12*((1.07)^3)*1.06908)/7%</f>
        <v>0</v>
      </c>
    </row>
    <row r="11" spans="1:12" ht="53.25" customHeight="1" x14ac:dyDescent="0.3">
      <c r="A11" s="48"/>
      <c r="F11" s="47"/>
      <c r="G11" s="21"/>
      <c r="I11" s="118"/>
      <c r="J11" s="119"/>
      <c r="K11" s="119"/>
      <c r="L11" s="120"/>
    </row>
    <row r="12" spans="1:12" ht="29.25" customHeight="1" x14ac:dyDescent="0.3">
      <c r="A12" s="48"/>
      <c r="F12" s="47"/>
      <c r="G12" s="64" t="s">
        <v>240</v>
      </c>
      <c r="H12" s="65">
        <v>0</v>
      </c>
      <c r="I12" s="67"/>
      <c r="J12" s="60"/>
      <c r="K12" s="60"/>
      <c r="L12" s="66"/>
    </row>
    <row r="13" spans="1:12" ht="18.75" customHeight="1" x14ac:dyDescent="0.3">
      <c r="A13" s="48"/>
      <c r="F13" s="47"/>
      <c r="G13" s="64" t="s">
        <v>237</v>
      </c>
      <c r="H13" s="65">
        <f>H10</f>
        <v>-326.54888363485031</v>
      </c>
      <c r="I13" s="67"/>
      <c r="J13" s="60"/>
      <c r="K13" s="60"/>
      <c r="L13" s="66"/>
    </row>
    <row r="14" spans="1:12" ht="31.5" customHeight="1" x14ac:dyDescent="0.3">
      <c r="A14" s="48"/>
      <c r="F14" s="47"/>
      <c r="G14" s="21"/>
      <c r="I14" s="63"/>
      <c r="J14" s="60"/>
      <c r="K14" s="60"/>
    </row>
    <row r="15" spans="1:12" ht="28.8" x14ac:dyDescent="0.3">
      <c r="B15" s="82">
        <f>106.55/113.04</f>
        <v>0.94258669497522996</v>
      </c>
      <c r="C15" s="84" t="s">
        <v>238</v>
      </c>
      <c r="E15" s="22"/>
      <c r="F15" s="23"/>
      <c r="G15" s="23"/>
    </row>
    <row r="16" spans="1:12" ht="28.8" x14ac:dyDescent="0.3">
      <c r="B16" s="82">
        <f>106.55/111.26</f>
        <v>0.9576667265863742</v>
      </c>
      <c r="C16" s="84" t="s">
        <v>117</v>
      </c>
    </row>
    <row r="17" spans="2:7" ht="28.8" x14ac:dyDescent="0.3">
      <c r="B17" s="82">
        <f>106.55/108.71</f>
        <v>0.98013062275779606</v>
      </c>
      <c r="C17" s="84" t="s">
        <v>118</v>
      </c>
    </row>
    <row r="18" spans="2:7" x14ac:dyDescent="0.3">
      <c r="B18" s="84">
        <f>1/(1.07^2)</f>
        <v>0.87343872827321156</v>
      </c>
      <c r="C18" s="84">
        <v>2017</v>
      </c>
    </row>
    <row r="19" spans="2:7" x14ac:dyDescent="0.3">
      <c r="B19" s="84">
        <f>1/(1.07^2)</f>
        <v>0.87343872827321156</v>
      </c>
      <c r="C19" s="84">
        <v>2018</v>
      </c>
    </row>
    <row r="20" spans="2:7" s="7" customFormat="1" x14ac:dyDescent="0.3">
      <c r="B20" s="84">
        <f>1/(1.07^3)</f>
        <v>0.81629787689085187</v>
      </c>
      <c r="C20" s="84">
        <v>2019</v>
      </c>
      <c r="E20" s="20"/>
    </row>
    <row r="21" spans="2:7" x14ac:dyDescent="0.3">
      <c r="B21" s="84">
        <f>1/(1.07^4)</f>
        <v>0.7628952120475252</v>
      </c>
      <c r="C21" s="84">
        <v>2020</v>
      </c>
    </row>
    <row r="22" spans="2:7" x14ac:dyDescent="0.3">
      <c r="B22" s="84">
        <f>1/(1.07^5)</f>
        <v>0.71298617948366838</v>
      </c>
      <c r="C22" s="84">
        <v>2021</v>
      </c>
      <c r="G22" s="55"/>
    </row>
    <row r="23" spans="2:7" x14ac:dyDescent="0.3">
      <c r="G23" s="55"/>
    </row>
  </sheetData>
  <mergeCells count="4">
    <mergeCell ref="A1:L1"/>
    <mergeCell ref="A2:L2"/>
    <mergeCell ref="L4:L9"/>
    <mergeCell ref="I11:L11"/>
  </mergeCells>
  <pageMargins left="0.25" right="0.25" top="0.75" bottom="0.75" header="0.3" footer="0.3"/>
  <pageSetup paperSize="5" scale="4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FC6BC4B1EFDC4409E1522139A1FFAD1" ma:contentTypeVersion="2" ma:contentTypeDescription="Create a new document." ma:contentTypeScope="" ma:versionID="778edbb4a8939da884b4bf8a0991fadf">
  <xsd:schema xmlns:xsd="http://www.w3.org/2001/XMLSchema" xmlns:xs="http://www.w3.org/2001/XMLSchema" xmlns:p="http://schemas.microsoft.com/office/2006/metadata/properties" xmlns:ns3="14ca70b7-b93c-4334-ab56-eeed2676982a" targetNamespace="http://schemas.microsoft.com/office/2006/metadata/properties" ma:root="true" ma:fieldsID="95167c642e4a3db5221363fd7c91b466" ns3:_="">
    <xsd:import namespace="14ca70b7-b93c-4334-ab56-eeed2676982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ca70b7-b93c-4334-ab56-eeed2676982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D8C3AB0-4A0E-435A-B356-F05886C51EF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4CA932-0BBC-4317-9314-BD5E6392106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4ca70b7-b93c-4334-ab56-eeed2676982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DB6FFC1-85A5-4A39-A32A-65405B4E714A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14ca70b7-b93c-4334-ab56-eeed2676982a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FY2017</vt:lpstr>
      <vt:lpstr>FY2018</vt:lpstr>
      <vt:lpstr>FY2019 </vt:lpstr>
      <vt:lpstr>FY2020</vt:lpstr>
      <vt:lpstr>FY2021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Kim, Hong J - ASP</dc:creator>
  <cp:lastModifiedBy>Kim, Hong J - ASP</cp:lastModifiedBy>
  <cp:lastPrinted>2020-07-31T19:04:56Z</cp:lastPrinted>
  <dcterms:created xsi:type="dcterms:W3CDTF">2018-07-19T18:19:23Z</dcterms:created>
  <dcterms:modified xsi:type="dcterms:W3CDTF">2020-08-04T18:14:18Z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0x010100DFC6BC4B1EFDC4409E1522139A1FFAD1</vt:lpwstr>
  </property>
</Properties>
</file>