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5" yWindow="65521" windowWidth="19065" windowHeight="11265" activeTab="0"/>
  </bookViews>
  <sheets>
    <sheet name="Table" sheetId="1" r:id="rId1"/>
    <sheet name="Footnotes" sheetId="2" r:id="rId2"/>
  </sheets>
  <definedNames>
    <definedName name="_Regression_Int" localSheetId="0" hidden="1">0</definedName>
    <definedName name="DATABASE">'Table'!#REF!</definedName>
    <definedName name="Database_MI">'Table'!#REF!</definedName>
    <definedName name="_xlnm.Print_Area" localSheetId="1">'Footnotes'!$A$9:$N$103</definedName>
    <definedName name="_xlnm.Print_Area" localSheetId="0">'Table'!$A$1:$BP$49</definedName>
    <definedName name="Print_Area_MI" localSheetId="0">'Table'!$A$9:$X$49</definedName>
    <definedName name="_xlnm.Print_Titles" localSheetId="1">'Footnotes'!$1:$8</definedName>
    <definedName name="_xlnm.Print_Titles" localSheetId="0">'Table'!$A:$D</definedName>
  </definedNames>
  <calcPr fullCalcOnLoad="1"/>
</workbook>
</file>

<file path=xl/sharedStrings.xml><?xml version="1.0" encoding="utf-8"?>
<sst xmlns="http://schemas.openxmlformats.org/spreadsheetml/2006/main" count="577" uniqueCount="127">
  <si>
    <t xml:space="preserve">  FY 1984</t>
  </si>
  <si>
    <t xml:space="preserve">  FY 1985</t>
  </si>
  <si>
    <t xml:space="preserve">  FY 1986</t>
  </si>
  <si>
    <t xml:space="preserve">  FY 1987</t>
  </si>
  <si>
    <t xml:space="preserve">  FY 1988</t>
  </si>
  <si>
    <t>TOTAL SUIESO</t>
  </si>
  <si>
    <t>Unemployment Compensation</t>
  </si>
  <si>
    <t>State Integrity Activities</t>
  </si>
  <si>
    <t xml:space="preserve">      na</t>
  </si>
  <si>
    <t>National Activities</t>
  </si>
  <si>
    <t>Employment Service</t>
  </si>
  <si>
    <t xml:space="preserve">Allotment to States   </t>
  </si>
  <si>
    <t>One-Stop Career Centers</t>
  </si>
  <si>
    <t>Targeted Jobs Tax Credit</t>
  </si>
  <si>
    <t>Labor Certification</t>
  </si>
  <si>
    <t>Other  National  Activities</t>
  </si>
  <si>
    <t xml:space="preserve">ES Automation </t>
  </si>
  <si>
    <t>Work Opportunity Tax Credit</t>
  </si>
  <si>
    <t>Labor Market Information</t>
  </si>
  <si>
    <t xml:space="preserve">Trade             </t>
  </si>
  <si>
    <t>Veterans' Employ. Service</t>
  </si>
  <si>
    <t>Disabled Veterans Outreach Pgm</t>
  </si>
  <si>
    <t>Local Veteran Empl Repres</t>
  </si>
  <si>
    <t>FEDERAL UNEMPLOYMENT BENEFITS</t>
  </si>
  <si>
    <t xml:space="preserve">   AND ALLOWANCES</t>
  </si>
  <si>
    <t>TAA Benefits &amp; Redwood</t>
  </si>
  <si>
    <t>TAA Training</t>
  </si>
  <si>
    <t>--</t>
  </si>
  <si>
    <t>NAFTA Benefits</t>
  </si>
  <si>
    <t>NAFTA Training</t>
  </si>
  <si>
    <t>ADVANCES to the UNEMP TRUST FUND</t>
  </si>
  <si>
    <t xml:space="preserve">  FY 1989</t>
  </si>
  <si>
    <t xml:space="preserve">  FY 1990</t>
  </si>
  <si>
    <t xml:space="preserve">  FY 1991</t>
  </si>
  <si>
    <t xml:space="preserve">  FY 1992</t>
  </si>
  <si>
    <t xml:space="preserve">  FY 1993</t>
  </si>
  <si>
    <t xml:space="preserve">  FY 1994</t>
  </si>
  <si>
    <t>FY 1995</t>
  </si>
  <si>
    <t>FY 1996</t>
  </si>
  <si>
    <t>FY 1997</t>
  </si>
  <si>
    <t>FY 1998</t>
  </si>
  <si>
    <t>FY 1999</t>
  </si>
  <si>
    <t>FY 2000</t>
  </si>
  <si>
    <t>FY 2001</t>
  </si>
  <si>
    <t>Reemployment Services</t>
  </si>
  <si>
    <t>Work Incentive Grants</t>
  </si>
  <si>
    <t>FY 2000 reflects an increase of $58,550,000 above appropriated amount of $356 million for "such sums as necessary".</t>
  </si>
  <si>
    <t>FY 1984 included $530,995,000 for the transition period and $740,398,000 for PY 1984 for Wagner-Peyser activities.</t>
  </si>
  <si>
    <t>TAA Training in 1986-1988 was included in the Training and Employment Services appropriation.</t>
  </si>
  <si>
    <t xml:space="preserve">Reflects budget request of $413,000,000 withdrawn because sufficient funds were carried over from 1986. </t>
  </si>
  <si>
    <t>A total of $80,000,000 was available for TAA Trng in FY 1989, of which $45,352,000 was appropriated in the Training and Employment Services Account.</t>
  </si>
  <si>
    <t>$22.75 million ($22 million from FY 1998 and $750,000 from FY 1999) was transferred to FY 1999 FUBA from Advances to finance increased activity in TRA Benefits and NAFTA Training.</t>
  </si>
  <si>
    <t>FY 2002</t>
  </si>
  <si>
    <t>FY 2003</t>
  </si>
  <si>
    <t>FY 2004</t>
  </si>
  <si>
    <t>Emergency Response Funds</t>
  </si>
  <si>
    <t xml:space="preserve">Includes $70 million advanced to the Black Lung Disability Trust Fund by using the "such sums as may be necessary" language included in the appropriation. </t>
  </si>
  <si>
    <t>Pursuant to the 2001 Emergency Supplemental Appropriations Act for Recovery from and Response to Terrorist Attacks on the United States, P.L. 107-38, enacted 9/18/01.</t>
  </si>
  <si>
    <t>FY 2005</t>
  </si>
  <si>
    <t xml:space="preserve">ES Automation line includes $2,440,000 for ADP DEMO Project in 1991.  </t>
  </si>
  <si>
    <t>Reflects $5 million transfer to Program Administration.</t>
  </si>
  <si>
    <t>Contingency</t>
  </si>
  <si>
    <t>State Administration</t>
  </si>
  <si>
    <t>Does not reflect $777,000 transfer from Program Administration to UI Research and Training.</t>
  </si>
  <si>
    <t xml:space="preserve">Reflects a $4.35 million transfer ($3.0 to Program Administration and $1.350 to the Department). </t>
  </si>
  <si>
    <t>Reflects transfer of $1 million to the Information Technology Support Center, and a transfer of $45 million from Contingency.</t>
  </si>
  <si>
    <t>Includes $200,000,000 for Year 2000 Conversion.  The year 2000 conversion for FY 1998 includes advance appropriation of $40 million for FY 1999.</t>
  </si>
  <si>
    <t xml:space="preserve">No funds appropriated in FY 1999 for Year 2000 Conversion; FY 1998 appropriation included advance funds $40 million for Year 2000 Conversion.  Reflects transfer of $3.351 million to Department Management, $4.143 million to Program Administration (S&amp;E), Congressional rescission of $5 million and reprogramming from Contingency of $37 million.  </t>
  </si>
  <si>
    <t>Reflects Admin amendment of $15.4 million, transfer of $1.649 million to Departmental Management, Congressional rescission of $17.4 million and reprogramming of $37 million to State Administration.</t>
  </si>
  <si>
    <t>Pursuant to P.L. 106-554, enacted 12/21/00, includes reduction of $360,000.</t>
  </si>
  <si>
    <t xml:space="preserve">Pursuant to the 2001 Emergency Supplemental Appropriations Act, P.L. 107-38, enacted 9/18/01, as set forth in Title IX, Division B, Chapter 8 of the Department of Defense Appropriations Act, 2002, P.L. 107-117, enacted 1/10/02. </t>
  </si>
  <si>
    <t xml:space="preserve">Does not include additional $28,000,000 for TAA benefits and $3,000,000 for NAFTA benefits due to revised economic assumptions.  </t>
  </si>
  <si>
    <t xml:space="preserve">Includes additional $31,000,000 due to revised economic assumptions.  </t>
  </si>
  <si>
    <t xml:space="preserve">Reflects transfers among programs:  In TES Account: Incentive Grants, -$4 million, and Pilots, Demos, &amp; Research, -$8 million; in SUIESO Account: UI State Administration, + $7 million, and Foreign Labor Certification, + $5 million.  </t>
  </si>
  <si>
    <t xml:space="preserve">Pursuant to Consolidated Appropriations Act, 2004, P.L. 108-199, enacted 1/23/04, includes reduction of $183,000, as part of the total $50 million Labor/HHS recission.  </t>
  </si>
  <si>
    <t>ATAA Wage Insurance</t>
  </si>
  <si>
    <t>a</t>
  </si>
  <si>
    <t>b</t>
  </si>
  <si>
    <t>c</t>
  </si>
  <si>
    <t>d</t>
  </si>
  <si>
    <t>a,b</t>
  </si>
  <si>
    <t>(Dollars in 000's)</t>
  </si>
  <si>
    <t>U.S. Department of Labor / Employment and Training Administration</t>
  </si>
  <si>
    <t>SESA Retirement/TAT/Capacity Building</t>
  </si>
  <si>
    <t xml:space="preserve">State Unemployment Insurance and Employment Service Operations Account, </t>
  </si>
  <si>
    <t xml:space="preserve">     Federal Unermployment Benefits Account, and</t>
  </si>
  <si>
    <t xml:space="preserve">     Advances to Unemployment Trust Fund Account</t>
  </si>
  <si>
    <t>Pursuant to Consolidated Appropriations Act, 2005, P.L. 108-447, enacted 12/8/04, includes reduction $197,636 for Unemployment Insurance State Administration, as part of the total $18 million Labor/HHS/Educ rescission.</t>
  </si>
  <si>
    <t>Footnotes (Footnotes are labeled within each respective year.)</t>
  </si>
  <si>
    <t>(Footnotes by year are in separate page.)</t>
  </si>
  <si>
    <t>(Each year reflects any subsequent changes to that year, e.g., supplementals, rescissions, or transfers of budget authority)</t>
  </si>
  <si>
    <t>FY 2006</t>
  </si>
  <si>
    <t xml:space="preserve">Pursuant to P.L. 107-116, enacted 1/10/02, includes reduction of $311,000.  Pursuant to P.L. 110-28, enacted 5/25/07, includes reduction of $4,100,000.  </t>
  </si>
  <si>
    <t xml:space="preserve">Pursuant to Consolidated Appropriations Act, 2005, P.L. 108-447, enacted 12/8/04, includes .80% across-the-board Fiscal Year 2005 rescissions  applicable to discretionary funds for 2005.  </t>
  </si>
  <si>
    <t>Pursuant to Consolidated Appropriations Act, 2004, P.L. 108-199, enacted 1/23/04, includes .59% across-the-board Fiscal Year 2004 rescissions applicable to discretionary funds for 2004.</t>
  </si>
  <si>
    <t>Pursuant to Consolidated Appropriations Act, 2003, P.L. 108-7, enacted 2/20/03, includes .65% across-the-board Fiscal Year 2003 rescissions applicable to discretionary funds for 2003.</t>
  </si>
  <si>
    <t>Pursuant to legal interpretation of Revised Continuing Appropriations Resolution, 2007, P.L. 110-5, enacted 2/15/07, includes 1.0% across-the-board Fiscal Year 2006 rescissions applicable to discretionary funds appropriated for 2006.</t>
  </si>
  <si>
    <t>FY2007</t>
  </si>
  <si>
    <t>FY2008</t>
  </si>
  <si>
    <t>Reflect $50,000 transferred from SUIESO ES National Activities TAT to CSEOA as an emergency transfer of funds.</t>
  </si>
  <si>
    <t>FY2009</t>
  </si>
  <si>
    <t>Per Supplemental Appropriation Act, 2008, P.L. 110-252, 6/3/2008, includes a supplemental appropriation of $110 million.</t>
  </si>
  <si>
    <t>Foreign Labor Certification</t>
  </si>
  <si>
    <t>Federal Administration</t>
  </si>
  <si>
    <t>State Grants</t>
  </si>
  <si>
    <t>Per H.R. 1105 (Conference Report), funds for FLC state grants are now consolidated with funds for federal administration and separately identified in the SUIESO account. Perviously, funds for state grants were provided in SUIESO under Employment Service National Activities.</t>
  </si>
  <si>
    <t>Per H.R. 1105 (Conference Report), funds for FLC federal administration are now consolidated with funds for state grants and separately identified in the SUIESO account. Perviously, funds for federal administration were provided in Program Administration.</t>
  </si>
  <si>
    <t>ARRA</t>
  </si>
  <si>
    <t>ESAA Extension Admin</t>
  </si>
  <si>
    <t>Per P.L. 111-5 American Recovery and Reinvestment Act, 2009, includes transfer of 1 percent of funds to program administration.</t>
  </si>
  <si>
    <t>FEDERAL ADDITIONAL UNEMPLOYMENT COMPENSATION</t>
  </si>
  <si>
    <t>ESSA/FAUC Admin</t>
  </si>
  <si>
    <t>FY2010</t>
  </si>
  <si>
    <t>H1-B -Fees for Salaries and Expenses</t>
  </si>
  <si>
    <t>H-B Fees for S&amp;E were moved from Program Administration to the SUIESO account per direction from the Department Budget Center.  Not appropriated but funded through employer fees.  Actual funding varies as fees are collected and made available to the Department of Labor.</t>
  </si>
  <si>
    <t>FY2011</t>
  </si>
  <si>
    <t>Not appropriated but funded through employer fees.  Actual funding varies as fees are collected and made available to the Department of Labor.</t>
  </si>
  <si>
    <t>Full-Year Continuing Appropriations Act, 2011, P.L. 112-10, 4/15/11, includes a 0.2 % across-the-board rescission on FY 2011 discretionary funds.</t>
  </si>
  <si>
    <t>Updated: 04/14/14</t>
  </si>
  <si>
    <t>FY2012</t>
  </si>
  <si>
    <t>Consolidated Appropriations Act, 2012, P.L. 112-74, enacted 12/23/11, includes a 0.189% across-the-board rescission on FY 2012 discretionary funds.</t>
  </si>
  <si>
    <t>Updated: 03/24/15</t>
  </si>
  <si>
    <t>Summary of Budget Authority, FY 1984 to 2013, By Year of Appropriation</t>
  </si>
  <si>
    <t>FY2013</t>
  </si>
  <si>
    <t>Pursuant to Division F, Sec 108 of Pub L. 112-74, and extended through Division F, Title I, of Pub. L. 113-6, the Department transferred $11,600,000 from SUIESO State Administration to Department Management Chief Evaluation Office for evaluations.</t>
  </si>
  <si>
    <t xml:space="preserve"> Pursuant to Division F, Sec 108 of Pub L. 112-74 the Department transferred $15,875,708 from SUIESO State Administration to Department Management Chief Evaluation Office for evaluations.</t>
  </si>
  <si>
    <t>Consolidated and Further Continuing Appropriations Act, 2013, P.L. 113-6, enacted 03/26/13.  Includes a  0.2 percent across-the-board rescission on FY 2013 discretionary funds.  All discretionary and mandatory funding for FY 2013 was further reduced by the sequestration order required by section 251A of the Balanced Budget and Emergency Deficit Control Act, as amended.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</si>
</sst>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_);\(#,##0.0\)"/>
    <numFmt numFmtId="166" formatCode="[$-409]dddd\,\ mmmm\ dd\,\ yyyy"/>
  </numFmts>
  <fonts count="45">
    <font>
      <sz val="10"/>
      <name val="Courier"/>
      <family val="0"/>
    </font>
    <font>
      <sz val="10"/>
      <name val="Arial"/>
      <family val="0"/>
    </font>
    <font>
      <sz val="8"/>
      <name val="Courier"/>
      <family val="3"/>
    </font>
    <font>
      <u val="single"/>
      <sz val="10"/>
      <color indexed="12"/>
      <name val="Courier"/>
      <family val="3"/>
    </font>
    <font>
      <u val="single"/>
      <sz val="10"/>
      <color indexed="36"/>
      <name val="Courier"/>
      <family val="3"/>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i/>
      <sz val="9"/>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hair"/>
      <bottom style="hair"/>
    </border>
    <border>
      <left>
        <color indexed="63"/>
      </left>
      <right>
        <color indexed="63"/>
      </right>
      <top>
        <color indexed="63"/>
      </top>
      <bottom style="hair"/>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2">
    <xf numFmtId="37" fontId="0" fillId="0" borderId="0" xfId="0" applyAlignment="1">
      <alignment/>
    </xf>
    <xf numFmtId="37" fontId="5" fillId="0" borderId="0" xfId="0" applyFont="1" applyFill="1" applyBorder="1" applyAlignment="1">
      <alignment/>
    </xf>
    <xf numFmtId="37" fontId="5" fillId="0" borderId="0" xfId="0" applyFont="1" applyFill="1" applyAlignment="1">
      <alignment/>
    </xf>
    <xf numFmtId="37" fontId="5" fillId="0" borderId="0" xfId="0" applyFont="1" applyFill="1" applyAlignment="1">
      <alignment horizontal="center"/>
    </xf>
    <xf numFmtId="37" fontId="5" fillId="0" borderId="0" xfId="0" applyFont="1" applyFill="1" applyBorder="1" applyAlignment="1" applyProtection="1">
      <alignment horizontal="center"/>
      <protection/>
    </xf>
    <xf numFmtId="37" fontId="5" fillId="0" borderId="0" xfId="0" applyFont="1" applyFill="1" applyBorder="1" applyAlignment="1">
      <alignment horizontal="center"/>
    </xf>
    <xf numFmtId="37" fontId="5" fillId="0" borderId="10" xfId="0" applyFont="1" applyFill="1" applyBorder="1" applyAlignment="1">
      <alignment horizontal="center"/>
    </xf>
    <xf numFmtId="37" fontId="5" fillId="0" borderId="10" xfId="0" applyFont="1" applyFill="1" applyBorder="1" applyAlignment="1" applyProtection="1">
      <alignment horizontal="center"/>
      <protection/>
    </xf>
    <xf numFmtId="37" fontId="5" fillId="0" borderId="11" xfId="0" applyFont="1" applyFill="1" applyBorder="1" applyAlignment="1">
      <alignment/>
    </xf>
    <xf numFmtId="37" fontId="5" fillId="0" borderId="0" xfId="0" applyFont="1" applyFill="1" applyAlignment="1" applyProtection="1">
      <alignment/>
      <protection/>
    </xf>
    <xf numFmtId="37" fontId="5" fillId="0" borderId="12" xfId="0" applyFont="1" applyFill="1" applyBorder="1" applyAlignment="1">
      <alignment/>
    </xf>
    <xf numFmtId="37" fontId="5" fillId="0" borderId="12" xfId="0" applyFont="1" applyFill="1" applyBorder="1" applyAlignment="1" applyProtection="1">
      <alignment/>
      <protection/>
    </xf>
    <xf numFmtId="37" fontId="5" fillId="0" borderId="12" xfId="0" applyFont="1" applyFill="1" applyBorder="1" applyAlignment="1">
      <alignment horizontal="center"/>
    </xf>
    <xf numFmtId="37" fontId="5" fillId="0" borderId="12" xfId="0" applyFont="1" applyFill="1" applyBorder="1" applyAlignment="1" applyProtection="1">
      <alignment horizontal="center"/>
      <protection/>
    </xf>
    <xf numFmtId="39" fontId="5" fillId="0" borderId="12" xfId="0" applyNumberFormat="1" applyFont="1" applyFill="1" applyBorder="1" applyAlignment="1">
      <alignment horizontal="center"/>
    </xf>
    <xf numFmtId="165" fontId="5" fillId="0" borderId="12" xfId="0" applyNumberFormat="1" applyFont="1" applyFill="1" applyBorder="1" applyAlignment="1">
      <alignment horizontal="center"/>
    </xf>
    <xf numFmtId="37" fontId="5" fillId="0" borderId="12" xfId="0" applyFont="1" applyFill="1" applyBorder="1" applyAlignment="1" applyProtection="1">
      <alignment horizontal="right"/>
      <protection/>
    </xf>
    <xf numFmtId="37" fontId="5" fillId="0" borderId="12" xfId="0" applyFont="1" applyFill="1" applyBorder="1" applyAlignment="1" applyProtection="1">
      <alignment horizontal="left"/>
      <protection/>
    </xf>
    <xf numFmtId="37" fontId="6" fillId="0" borderId="0" xfId="0" applyFont="1" applyFill="1" applyBorder="1" applyAlignment="1">
      <alignment/>
    </xf>
    <xf numFmtId="37" fontId="7" fillId="0" borderId="0" xfId="0" applyFont="1" applyFill="1" applyBorder="1" applyAlignment="1" applyProtection="1">
      <alignment horizontal="left"/>
      <protection/>
    </xf>
    <xf numFmtId="37" fontId="8" fillId="0" borderId="11" xfId="0" applyFont="1" applyFill="1" applyBorder="1" applyAlignment="1">
      <alignment/>
    </xf>
    <xf numFmtId="37" fontId="8" fillId="0" borderId="12" xfId="0" applyFont="1" applyFill="1" applyBorder="1" applyAlignment="1">
      <alignment/>
    </xf>
    <xf numFmtId="37" fontId="8" fillId="0" borderId="10" xfId="0" applyFont="1" applyFill="1" applyBorder="1" applyAlignment="1" applyProtection="1">
      <alignment horizontal="center"/>
      <protection/>
    </xf>
    <xf numFmtId="37" fontId="8" fillId="0" borderId="10" xfId="0" applyFont="1" applyFill="1" applyBorder="1" applyAlignment="1">
      <alignment horizontal="center"/>
    </xf>
    <xf numFmtId="0" fontId="5" fillId="0" borderId="0" xfId="0" applyNumberFormat="1" applyFont="1" applyFill="1" applyAlignment="1">
      <alignment horizontal="center"/>
    </xf>
    <xf numFmtId="0" fontId="5" fillId="0" borderId="0" xfId="0" applyNumberFormat="1" applyFont="1" applyFill="1" applyBorder="1" applyAlignment="1">
      <alignment horizontal="center" vertical="top"/>
    </xf>
    <xf numFmtId="37" fontId="9" fillId="0" borderId="0" xfId="0" applyFont="1" applyFill="1" applyBorder="1" applyAlignment="1">
      <alignment/>
    </xf>
    <xf numFmtId="37" fontId="9" fillId="0" borderId="0" xfId="0" applyFont="1" applyFill="1" applyBorder="1" applyAlignment="1" applyProtection="1">
      <alignment horizontal="center" vertical="top"/>
      <protection/>
    </xf>
    <xf numFmtId="37" fontId="9" fillId="0" borderId="0" xfId="0" applyFont="1" applyFill="1" applyBorder="1" applyAlignment="1" applyProtection="1">
      <alignment horizontal="left" wrapText="1"/>
      <protection/>
    </xf>
    <xf numFmtId="0" fontId="9" fillId="0" borderId="0" xfId="0" applyNumberFormat="1" applyFont="1" applyFill="1" applyAlignment="1">
      <alignment horizontal="center"/>
    </xf>
    <xf numFmtId="37" fontId="9" fillId="0" borderId="0" xfId="0" applyFont="1" applyFill="1" applyAlignment="1">
      <alignment/>
    </xf>
    <xf numFmtId="37" fontId="7" fillId="0" borderId="0" xfId="0" applyNumberFormat="1" applyFont="1" applyFill="1" applyBorder="1" applyAlignment="1" applyProtection="1">
      <alignment horizontal="right" vertical="top"/>
      <protection/>
    </xf>
    <xf numFmtId="0" fontId="7" fillId="0" borderId="0" xfId="0" applyNumberFormat="1" applyFont="1" applyFill="1" applyBorder="1" applyAlignment="1">
      <alignment horizontal="center" vertical="top"/>
    </xf>
    <xf numFmtId="37" fontId="5" fillId="0" borderId="12" xfId="0" applyFont="1" applyFill="1" applyBorder="1" applyAlignment="1" applyProtection="1" quotePrefix="1">
      <alignment horizontal="right"/>
      <protection/>
    </xf>
    <xf numFmtId="37" fontId="8" fillId="0" borderId="0" xfId="0" applyFont="1" applyFill="1" applyAlignment="1" applyProtection="1">
      <alignment horizontal="left"/>
      <protection/>
    </xf>
    <xf numFmtId="37" fontId="8" fillId="0" borderId="0" xfId="0" applyFont="1" applyFill="1" applyAlignment="1" applyProtection="1">
      <alignment/>
      <protection/>
    </xf>
    <xf numFmtId="37" fontId="8" fillId="0" borderId="0" xfId="0" applyFont="1" applyFill="1" applyAlignment="1">
      <alignment horizontal="center"/>
    </xf>
    <xf numFmtId="37" fontId="8" fillId="0" borderId="0" xfId="0" applyFont="1" applyFill="1" applyAlignment="1">
      <alignment/>
    </xf>
    <xf numFmtId="37" fontId="8" fillId="0" borderId="12" xfId="0" applyFont="1" applyFill="1" applyBorder="1" applyAlignment="1" applyProtection="1">
      <alignment/>
      <protection/>
    </xf>
    <xf numFmtId="37" fontId="8" fillId="0" borderId="12" xfId="0" applyFont="1" applyFill="1" applyBorder="1" applyAlignment="1">
      <alignment horizontal="center"/>
    </xf>
    <xf numFmtId="37" fontId="10" fillId="0" borderId="0" xfId="0" applyFont="1" applyFill="1" applyBorder="1" applyAlignment="1">
      <alignment/>
    </xf>
    <xf numFmtId="0" fontId="7" fillId="0" borderId="0" xfId="0" applyNumberFormat="1" applyFont="1" applyFill="1" applyBorder="1" applyAlignment="1">
      <alignment/>
    </xf>
    <xf numFmtId="37" fontId="5" fillId="33" borderId="12" xfId="0" applyFont="1" applyFill="1" applyBorder="1" applyAlignment="1" applyProtection="1">
      <alignment/>
      <protection/>
    </xf>
    <xf numFmtId="0" fontId="6" fillId="0" borderId="0" xfId="0" applyNumberFormat="1" applyFont="1" applyFill="1" applyBorder="1" applyAlignment="1">
      <alignment/>
    </xf>
    <xf numFmtId="0" fontId="8" fillId="0" borderId="0" xfId="0" applyNumberFormat="1" applyFont="1" applyFill="1" applyBorder="1" applyAlignment="1" quotePrefix="1">
      <alignment/>
    </xf>
    <xf numFmtId="37" fontId="8" fillId="0" borderId="0" xfId="0" applyFont="1" applyFill="1" applyBorder="1" applyAlignment="1">
      <alignment/>
    </xf>
    <xf numFmtId="0" fontId="7" fillId="0" borderId="0" xfId="0" applyNumberFormat="1" applyFont="1" applyFill="1" applyBorder="1" applyAlignment="1">
      <alignment horizontal="right" vertical="top"/>
    </xf>
    <xf numFmtId="37" fontId="9" fillId="0" borderId="0" xfId="0" applyFont="1" applyFill="1" applyAlignment="1">
      <alignment wrapText="1"/>
    </xf>
    <xf numFmtId="37" fontId="5" fillId="0" borderId="0" xfId="0" applyFont="1" applyFill="1" applyAlignment="1">
      <alignment wrapText="1"/>
    </xf>
    <xf numFmtId="37" fontId="5" fillId="0" borderId="0" xfId="0" applyFont="1" applyFill="1" applyAlignment="1">
      <alignment horizontal="right"/>
    </xf>
    <xf numFmtId="37" fontId="5" fillId="0" borderId="13" xfId="0" applyFont="1" applyFill="1" applyBorder="1" applyAlignment="1">
      <alignment/>
    </xf>
    <xf numFmtId="37" fontId="8" fillId="0" borderId="13" xfId="0" applyFont="1" applyFill="1" applyBorder="1" applyAlignment="1">
      <alignment/>
    </xf>
    <xf numFmtId="0" fontId="8" fillId="0" borderId="0" xfId="0" applyNumberFormat="1" applyFont="1" applyFill="1" applyBorder="1" applyAlignment="1">
      <alignment/>
    </xf>
    <xf numFmtId="37" fontId="5" fillId="0" borderId="0" xfId="0" applyFont="1" applyFill="1" applyBorder="1" applyAlignment="1" applyProtection="1">
      <alignment horizontal="left"/>
      <protection/>
    </xf>
    <xf numFmtId="37" fontId="5" fillId="12" borderId="0" xfId="0" applyFont="1" applyFill="1" applyAlignment="1">
      <alignment/>
    </xf>
    <xf numFmtId="37" fontId="5" fillId="0" borderId="14" xfId="0" applyFont="1" applyFill="1" applyBorder="1" applyAlignment="1">
      <alignment/>
    </xf>
    <xf numFmtId="37" fontId="5" fillId="0" borderId="10" xfId="0" applyFont="1" applyFill="1" applyBorder="1" applyAlignment="1">
      <alignment/>
    </xf>
    <xf numFmtId="37" fontId="9" fillId="0" borderId="0" xfId="0" applyFont="1" applyFill="1" applyAlignment="1">
      <alignment wrapText="1"/>
    </xf>
    <xf numFmtId="37" fontId="5" fillId="0" borderId="0" xfId="0" applyFont="1" applyFill="1" applyAlignment="1">
      <alignment wrapText="1"/>
    </xf>
    <xf numFmtId="37" fontId="9" fillId="0" borderId="0" xfId="0" applyFont="1" applyFill="1" applyBorder="1" applyAlignment="1" applyProtection="1">
      <alignment horizontal="left" vertical="top" wrapText="1"/>
      <protection/>
    </xf>
    <xf numFmtId="37" fontId="9" fillId="0" borderId="0" xfId="0" applyFont="1" applyFill="1" applyBorder="1" applyAlignment="1">
      <alignment horizontal="left" vertical="top" wrapText="1"/>
    </xf>
    <xf numFmtId="0" fontId="9" fillId="0" borderId="0" xfId="0" applyNumberFormat="1"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BP49"/>
  <sheetViews>
    <sheetView tabSelected="1" zoomScale="90" zoomScaleNormal="90" zoomScaleSheetLayoutView="100" zoomScalePageLayoutView="0" workbookViewId="0" topLeftCell="A1">
      <pane xSplit="4" ySplit="10" topLeftCell="E11" activePane="bottomRight" state="frozen"/>
      <selection pane="topLeft" activeCell="A11" sqref="A11"/>
      <selection pane="topRight" activeCell="E11" sqref="E11"/>
      <selection pane="bottomLeft" activeCell="A11" sqref="A11"/>
      <selection pane="bottomRight" activeCell="A1" sqref="A1"/>
    </sheetView>
  </sheetViews>
  <sheetFormatPr defaultColWidth="9.625" defaultRowHeight="12.75"/>
  <cols>
    <col min="1" max="3" width="2.625" style="2" customWidth="1"/>
    <col min="4" max="4" width="46.875" style="2" customWidth="1"/>
    <col min="5" max="5" width="12.875" style="2" customWidth="1"/>
    <col min="6" max="6" width="1.625" style="3" bestFit="1" customWidth="1"/>
    <col min="7" max="7" width="11.875" style="2" customWidth="1"/>
    <col min="8" max="8" width="1.625" style="3" bestFit="1" customWidth="1"/>
    <col min="9" max="9" width="11.875" style="2" customWidth="1"/>
    <col min="10" max="10" width="1.625" style="3" bestFit="1" customWidth="1"/>
    <col min="11" max="11" width="11.875" style="2" customWidth="1"/>
    <col min="12" max="12" width="1.75390625" style="3" bestFit="1" customWidth="1"/>
    <col min="13" max="13" width="11.875" style="2" customWidth="1"/>
    <col min="14" max="14" width="1.625" style="3" bestFit="1" customWidth="1"/>
    <col min="15" max="15" width="11.875" style="2" customWidth="1"/>
    <col min="16" max="16" width="1.625" style="3" bestFit="1" customWidth="1"/>
    <col min="17" max="17" width="11.875" style="2" customWidth="1"/>
    <col min="18" max="18" width="1.875" style="3" customWidth="1"/>
    <col min="19" max="19" width="11.875" style="2" customWidth="1"/>
    <col min="20" max="20" width="1.625" style="3" bestFit="1" customWidth="1"/>
    <col min="21" max="21" width="11.875" style="2" customWidth="1"/>
    <col min="22" max="22" width="1.875" style="2" bestFit="1" customWidth="1"/>
    <col min="23" max="23" width="11.875" style="2" customWidth="1"/>
    <col min="24" max="24" width="1.875" style="3" bestFit="1" customWidth="1"/>
    <col min="25" max="25" width="11.875" style="2" customWidth="1"/>
    <col min="26" max="26" width="1.875" style="3" bestFit="1" customWidth="1"/>
    <col min="27" max="27" width="11.875" style="2" customWidth="1"/>
    <col min="28" max="28" width="1.625" style="3" bestFit="1" customWidth="1"/>
    <col min="29" max="29" width="11.875" style="2" customWidth="1"/>
    <col min="30" max="30" width="2.00390625" style="3" customWidth="1"/>
    <col min="31" max="31" width="11.875" style="2" customWidth="1"/>
    <col min="32" max="32" width="1.625" style="3" bestFit="1" customWidth="1"/>
    <col min="33" max="33" width="12.75390625" style="2" bestFit="1" customWidth="1"/>
    <col min="34" max="34" width="2.875" style="3" customWidth="1"/>
    <col min="35" max="35" width="12.75390625" style="2" bestFit="1" customWidth="1"/>
    <col min="36" max="36" width="1.75390625" style="3" bestFit="1" customWidth="1"/>
    <col min="37" max="37" width="12.75390625" style="2" bestFit="1" customWidth="1"/>
    <col min="38" max="38" width="1.625" style="3" bestFit="1" customWidth="1"/>
    <col min="39" max="39" width="11.875" style="2" customWidth="1"/>
    <col min="40" max="40" width="1.75390625" style="3" bestFit="1" customWidth="1"/>
    <col min="41" max="41" width="11.875" style="2" customWidth="1"/>
    <col min="42" max="42" width="1.75390625" style="3" bestFit="1" customWidth="1"/>
    <col min="43" max="43" width="11.875" style="2" customWidth="1"/>
    <col min="44" max="44" width="3.00390625" style="3" customWidth="1"/>
    <col min="45" max="45" width="11.875" style="2" customWidth="1"/>
    <col min="46" max="46" width="2.125" style="3" customWidth="1"/>
    <col min="47" max="47" width="15.125" style="2" hidden="1" customWidth="1"/>
    <col min="48" max="48" width="3.00390625" style="2" hidden="1" customWidth="1"/>
    <col min="49" max="49" width="11.875" style="2" customWidth="1"/>
    <col min="50" max="50" width="2.125" style="2" customWidth="1"/>
    <col min="51" max="51" width="12.00390625" style="2" bestFit="1" customWidth="1"/>
    <col min="52" max="52" width="2.125" style="2" customWidth="1"/>
    <col min="53" max="53" width="11.75390625" style="2" customWidth="1"/>
    <col min="54" max="54" width="2.00390625" style="2" customWidth="1"/>
    <col min="55" max="55" width="11.25390625" style="2" customWidth="1"/>
    <col min="56" max="56" width="2.375" style="2" customWidth="1"/>
    <col min="57" max="57" width="12.125" style="2" bestFit="1" customWidth="1"/>
    <col min="58" max="58" width="2.125" style="2" customWidth="1"/>
    <col min="59" max="59" width="12.375" style="2" bestFit="1" customWidth="1"/>
    <col min="60" max="60" width="2.125" style="2" customWidth="1"/>
    <col min="61" max="61" width="13.00390625" style="2" customWidth="1"/>
    <col min="62" max="62" width="2.875" style="2" customWidth="1"/>
    <col min="63" max="63" width="13.00390625" style="2" customWidth="1"/>
    <col min="64" max="64" width="2.875" style="2" customWidth="1"/>
    <col min="65" max="65" width="13.00390625" style="2" customWidth="1"/>
    <col min="66" max="66" width="2.875" style="2" customWidth="1"/>
    <col min="67" max="67" width="13.00390625" style="2" customWidth="1"/>
    <col min="68" max="68" width="2.875" style="2" customWidth="1"/>
    <col min="69" max="16384" width="9.625" style="2" customWidth="1"/>
  </cols>
  <sheetData>
    <row r="1" spans="1:16" ht="14.25">
      <c r="A1" s="18" t="s">
        <v>82</v>
      </c>
      <c r="B1" s="1"/>
      <c r="C1" s="1"/>
      <c r="D1" s="1"/>
      <c r="E1" s="1"/>
      <c r="F1" s="1"/>
      <c r="G1" s="1"/>
      <c r="H1" s="1"/>
      <c r="I1" s="40" t="s">
        <v>121</v>
      </c>
      <c r="J1" s="1"/>
      <c r="K1" s="1"/>
      <c r="L1" s="1"/>
      <c r="M1" s="1"/>
      <c r="N1" s="1"/>
      <c r="O1" s="1"/>
      <c r="P1" s="1"/>
    </row>
    <row r="2" spans="1:16" ht="14.25">
      <c r="A2" s="18" t="s">
        <v>84</v>
      </c>
      <c r="B2" s="1"/>
      <c r="C2" s="1"/>
      <c r="D2" s="1"/>
      <c r="E2" s="1"/>
      <c r="F2" s="1"/>
      <c r="G2" s="1"/>
      <c r="H2" s="1"/>
      <c r="I2" s="1"/>
      <c r="J2" s="1"/>
      <c r="K2" s="1"/>
      <c r="L2" s="1"/>
      <c r="M2" s="1"/>
      <c r="N2" s="1"/>
      <c r="O2" s="1"/>
      <c r="P2" s="1"/>
    </row>
    <row r="3" spans="1:16" ht="14.25">
      <c r="A3" s="18" t="s">
        <v>85</v>
      </c>
      <c r="B3" s="1"/>
      <c r="C3" s="1"/>
      <c r="D3" s="1"/>
      <c r="E3" s="1"/>
      <c r="F3" s="1"/>
      <c r="G3" s="1"/>
      <c r="H3" s="1"/>
      <c r="I3" s="1"/>
      <c r="J3" s="1"/>
      <c r="K3" s="1"/>
      <c r="L3" s="1"/>
      <c r="M3" s="1"/>
      <c r="N3" s="1"/>
      <c r="O3" s="1"/>
      <c r="P3" s="1"/>
    </row>
    <row r="4" spans="1:16" ht="14.25">
      <c r="A4" s="18" t="s">
        <v>86</v>
      </c>
      <c r="B4" s="1"/>
      <c r="C4" s="1"/>
      <c r="D4" s="1"/>
      <c r="E4" s="1"/>
      <c r="F4" s="1"/>
      <c r="G4" s="1"/>
      <c r="H4" s="1"/>
      <c r="I4" s="1"/>
      <c r="J4" s="1"/>
      <c r="K4" s="1"/>
      <c r="L4" s="1"/>
      <c r="M4" s="1"/>
      <c r="N4" s="1"/>
      <c r="O4" s="1"/>
      <c r="P4" s="1"/>
    </row>
    <row r="5" spans="1:16" ht="14.25">
      <c r="A5" s="43" t="s">
        <v>122</v>
      </c>
      <c r="B5" s="1"/>
      <c r="C5" s="1"/>
      <c r="D5" s="1"/>
      <c r="E5" s="1"/>
      <c r="F5" s="1"/>
      <c r="G5" s="1"/>
      <c r="H5" s="1"/>
      <c r="I5" s="1"/>
      <c r="J5" s="1"/>
      <c r="K5" s="1"/>
      <c r="L5" s="1"/>
      <c r="M5" s="1"/>
      <c r="N5" s="1"/>
      <c r="O5" s="1"/>
      <c r="P5" s="1"/>
    </row>
    <row r="6" spans="1:16" ht="12.75">
      <c r="A6" s="44" t="s">
        <v>90</v>
      </c>
      <c r="B6" s="1"/>
      <c r="C6" s="1"/>
      <c r="D6" s="1"/>
      <c r="E6" s="1"/>
      <c r="F6" s="1"/>
      <c r="G6" s="1"/>
      <c r="H6" s="1"/>
      <c r="I6" s="1"/>
      <c r="J6" s="1"/>
      <c r="K6" s="1"/>
      <c r="L6" s="1"/>
      <c r="M6" s="1"/>
      <c r="N6" s="1"/>
      <c r="O6" s="1"/>
      <c r="P6" s="1"/>
    </row>
    <row r="7" spans="1:16" ht="12.75">
      <c r="A7" s="19" t="s">
        <v>81</v>
      </c>
      <c r="B7" s="19"/>
      <c r="C7" s="19"/>
      <c r="D7" s="19"/>
      <c r="E7" s="19"/>
      <c r="F7" s="19"/>
      <c r="G7" s="19"/>
      <c r="H7" s="19"/>
      <c r="I7" s="19"/>
      <c r="J7" s="19"/>
      <c r="K7" s="19"/>
      <c r="L7" s="19"/>
      <c r="M7" s="19"/>
      <c r="N7" s="19"/>
      <c r="O7" s="19"/>
      <c r="P7" s="19"/>
    </row>
    <row r="8" spans="1:16" ht="12.75">
      <c r="A8" s="41" t="s">
        <v>89</v>
      </c>
      <c r="B8" s="1"/>
      <c r="C8" s="1"/>
      <c r="D8" s="1"/>
      <c r="E8" s="1"/>
      <c r="F8" s="1"/>
      <c r="G8" s="1"/>
      <c r="H8" s="1"/>
      <c r="I8" s="1"/>
      <c r="J8" s="1"/>
      <c r="K8" s="1"/>
      <c r="L8" s="1"/>
      <c r="M8" s="1"/>
      <c r="N8" s="1"/>
      <c r="O8" s="1"/>
      <c r="P8" s="1"/>
    </row>
    <row r="9" spans="1:60" ht="9.75" customHeight="1">
      <c r="A9" s="4"/>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BB9" s="5"/>
      <c r="BD9" s="5"/>
      <c r="BF9" s="5"/>
      <c r="BH9" s="5"/>
    </row>
    <row r="10" spans="1:68" ht="12.75">
      <c r="A10" s="6"/>
      <c r="B10" s="6"/>
      <c r="C10" s="6"/>
      <c r="D10" s="6"/>
      <c r="E10" s="22" t="s">
        <v>0</v>
      </c>
      <c r="F10" s="23"/>
      <c r="G10" s="22" t="s">
        <v>1</v>
      </c>
      <c r="H10" s="23"/>
      <c r="I10" s="22" t="s">
        <v>2</v>
      </c>
      <c r="J10" s="23"/>
      <c r="K10" s="22" t="s">
        <v>3</v>
      </c>
      <c r="L10" s="23"/>
      <c r="M10" s="22" t="s">
        <v>4</v>
      </c>
      <c r="N10" s="23"/>
      <c r="O10" s="22" t="s">
        <v>31</v>
      </c>
      <c r="P10" s="23"/>
      <c r="Q10" s="22" t="s">
        <v>32</v>
      </c>
      <c r="R10" s="23"/>
      <c r="S10" s="22" t="s">
        <v>33</v>
      </c>
      <c r="T10" s="23"/>
      <c r="U10" s="22" t="s">
        <v>34</v>
      </c>
      <c r="V10" s="23"/>
      <c r="W10" s="22" t="s">
        <v>35</v>
      </c>
      <c r="X10" s="23"/>
      <c r="Y10" s="22" t="s">
        <v>36</v>
      </c>
      <c r="Z10" s="23"/>
      <c r="AA10" s="22" t="s">
        <v>37</v>
      </c>
      <c r="AB10" s="23"/>
      <c r="AC10" s="22" t="s">
        <v>38</v>
      </c>
      <c r="AD10" s="23"/>
      <c r="AE10" s="22" t="s">
        <v>39</v>
      </c>
      <c r="AF10" s="23"/>
      <c r="AG10" s="22" t="s">
        <v>40</v>
      </c>
      <c r="AH10" s="23"/>
      <c r="AI10" s="22" t="s">
        <v>41</v>
      </c>
      <c r="AJ10" s="23"/>
      <c r="AK10" s="22" t="s">
        <v>42</v>
      </c>
      <c r="AL10" s="23"/>
      <c r="AM10" s="22" t="s">
        <v>43</v>
      </c>
      <c r="AN10" s="23"/>
      <c r="AO10" s="22" t="s">
        <v>52</v>
      </c>
      <c r="AP10" s="23"/>
      <c r="AQ10" s="22" t="s">
        <v>53</v>
      </c>
      <c r="AR10" s="23" t="s">
        <v>76</v>
      </c>
      <c r="AS10" s="22" t="s">
        <v>54</v>
      </c>
      <c r="AT10" s="23" t="s">
        <v>76</v>
      </c>
      <c r="AU10" s="7" t="s">
        <v>58</v>
      </c>
      <c r="AV10" s="6"/>
      <c r="AW10" s="22" t="s">
        <v>58</v>
      </c>
      <c r="AX10" s="23" t="s">
        <v>76</v>
      </c>
      <c r="AY10" s="22" t="s">
        <v>91</v>
      </c>
      <c r="AZ10" s="23" t="s">
        <v>76</v>
      </c>
      <c r="BA10" s="22" t="s">
        <v>97</v>
      </c>
      <c r="BB10" s="23"/>
      <c r="BC10" s="22" t="s">
        <v>98</v>
      </c>
      <c r="BD10" s="23"/>
      <c r="BE10" s="22" t="s">
        <v>107</v>
      </c>
      <c r="BF10" s="23"/>
      <c r="BG10" s="22" t="s">
        <v>100</v>
      </c>
      <c r="BH10" s="23"/>
      <c r="BI10" s="22" t="s">
        <v>112</v>
      </c>
      <c r="BJ10" s="56"/>
      <c r="BK10" s="22" t="s">
        <v>115</v>
      </c>
      <c r="BL10" s="56"/>
      <c r="BM10" s="22" t="s">
        <v>119</v>
      </c>
      <c r="BN10" s="56"/>
      <c r="BO10" s="22" t="s">
        <v>123</v>
      </c>
      <c r="BP10" s="56"/>
    </row>
    <row r="11" spans="1:68" ht="18" customHeight="1">
      <c r="A11" s="20" t="s">
        <v>5</v>
      </c>
      <c r="E11" s="35">
        <f>E12+E19+E37</f>
        <v>3340300</v>
      </c>
      <c r="F11" s="36"/>
      <c r="G11" s="35">
        <f>G12+G19+G37</f>
        <v>2430565</v>
      </c>
      <c r="H11" s="36"/>
      <c r="I11" s="35">
        <f>I12+I19+I37</f>
        <v>2377107</v>
      </c>
      <c r="J11" s="36"/>
      <c r="K11" s="35">
        <f>K12+K19+K37</f>
        <v>2430301</v>
      </c>
      <c r="L11" s="36"/>
      <c r="M11" s="35">
        <f>M12+M19+M37</f>
        <v>2455808</v>
      </c>
      <c r="N11" s="36"/>
      <c r="O11" s="35">
        <f>O12+O19+O37</f>
        <v>2472515</v>
      </c>
      <c r="P11" s="36"/>
      <c r="Q11" s="35">
        <f>Q12+Q19+Q37</f>
        <v>2661266</v>
      </c>
      <c r="R11" s="36"/>
      <c r="S11" s="35">
        <f>S12+S19+S37</f>
        <v>3018957</v>
      </c>
      <c r="T11" s="36"/>
      <c r="U11" s="35">
        <f>U12+U19+U37</f>
        <v>3488831</v>
      </c>
      <c r="V11" s="37"/>
      <c r="W11" s="35">
        <f>W12+W19+W37</f>
        <v>3274688</v>
      </c>
      <c r="X11" s="36"/>
      <c r="Y11" s="35">
        <f>Y12+Y19+Y37</f>
        <v>3453659</v>
      </c>
      <c r="Z11" s="36"/>
      <c r="AA11" s="35">
        <f>AA12+AA19+AA37</f>
        <v>3328585</v>
      </c>
      <c r="AB11" s="36"/>
      <c r="AC11" s="35">
        <f>AC12+AC19+AC37</f>
        <v>3237521</v>
      </c>
      <c r="AD11" s="36"/>
      <c r="AE11" s="35">
        <f>AE12+AE19+AE37</f>
        <v>3315928</v>
      </c>
      <c r="AF11" s="36"/>
      <c r="AG11" s="35">
        <f>AG12+AG19+AG37</f>
        <v>3494928</v>
      </c>
      <c r="AH11" s="36"/>
      <c r="AI11" s="35">
        <f>AI12+AI19+AI37</f>
        <v>3262630</v>
      </c>
      <c r="AJ11" s="36"/>
      <c r="AK11" s="35">
        <f>AK12+AK19+AK37</f>
        <v>3234480</v>
      </c>
      <c r="AL11" s="36"/>
      <c r="AM11" s="35">
        <f>AM12+AM19+AM37</f>
        <v>3453494</v>
      </c>
      <c r="AN11" s="36"/>
      <c r="AO11" s="35">
        <f>AO12+AO19+AO37</f>
        <v>3694456</v>
      </c>
      <c r="AP11" s="36"/>
      <c r="AQ11" s="35">
        <f>AQ12+AQ19+AQ37</f>
        <v>3607380.13</v>
      </c>
      <c r="AR11" s="36"/>
      <c r="AS11" s="35">
        <f>AS12+AS19+AS37</f>
        <v>3651543.4169999994</v>
      </c>
      <c r="AU11" s="9">
        <f>AU12+AU19+AU37</f>
        <v>3636709.065</v>
      </c>
      <c r="AW11" s="35">
        <f>AW12+AW19+AW37</f>
        <v>3636709.065</v>
      </c>
      <c r="AX11" s="3"/>
      <c r="AY11" s="35">
        <f>AY12+AY19+AY37</f>
        <v>3358157.2199999997</v>
      </c>
      <c r="AZ11" s="3"/>
      <c r="BA11" s="35">
        <f>BA12+BA19+BA37</f>
        <v>3340350</v>
      </c>
      <c r="BB11" s="3"/>
      <c r="BC11" s="35">
        <f>BC12+BC19+BC37</f>
        <v>3375833.5409999997</v>
      </c>
      <c r="BD11" s="3"/>
      <c r="BE11" s="35">
        <f>BE12+BE19+BE37</f>
        <v>843984.469</v>
      </c>
      <c r="BF11" s="3"/>
      <c r="BG11" s="35">
        <f>BG12+BG19+BG37+BG33</f>
        <v>3694865</v>
      </c>
      <c r="BH11" s="3"/>
      <c r="BI11" s="35">
        <f>BI12+BI19+BI36+BI37+BI33</f>
        <v>4125083.636</v>
      </c>
      <c r="BJ11" s="55"/>
      <c r="BK11" s="35">
        <f>BK12+BK19+BK36+BK37+BK33</f>
        <v>4114866.2619999996</v>
      </c>
      <c r="BL11" s="55" t="s">
        <v>76</v>
      </c>
      <c r="BM11" s="35">
        <f>BM12+BM19+BM36+BM37+BM33</f>
        <v>4087180.638</v>
      </c>
      <c r="BN11" s="55" t="s">
        <v>76</v>
      </c>
      <c r="BO11" s="35">
        <f>BO12+BO19+BO36+BO37+BO33</f>
        <v>3816799.496</v>
      </c>
      <c r="BP11" s="55" t="s">
        <v>76</v>
      </c>
    </row>
    <row r="12" spans="2:68" ht="12.75">
      <c r="B12" s="10" t="s">
        <v>6</v>
      </c>
      <c r="C12" s="10"/>
      <c r="D12" s="10"/>
      <c r="E12" s="11">
        <f>SUM(E13:E17)</f>
        <v>1889400</v>
      </c>
      <c r="F12" s="12"/>
      <c r="G12" s="11">
        <f>SUM(G13:G17)</f>
        <v>1600400</v>
      </c>
      <c r="H12" s="12"/>
      <c r="I12" s="11">
        <f>SUM(I13:I17)</f>
        <v>1587568</v>
      </c>
      <c r="J12" s="12"/>
      <c r="K12" s="11">
        <f>SUM(K13:K17)</f>
        <v>1637568</v>
      </c>
      <c r="L12" s="12"/>
      <c r="M12" s="11">
        <f>SUM(M13:M17)</f>
        <v>1660724</v>
      </c>
      <c r="N12" s="12"/>
      <c r="O12" s="11">
        <f>SUM(O13:O17)</f>
        <v>1657962</v>
      </c>
      <c r="P12" s="12"/>
      <c r="Q12" s="11">
        <f>SUM(Q13:Q17)</f>
        <v>1801075</v>
      </c>
      <c r="R12" s="12"/>
      <c r="S12" s="11">
        <f>SUM(S13:S17)</f>
        <v>2134413</v>
      </c>
      <c r="T12" s="12"/>
      <c r="U12" s="11">
        <f>SUM(U13:U17)</f>
        <v>2565085</v>
      </c>
      <c r="V12" s="10"/>
      <c r="W12" s="11">
        <f>SUM(W13:W17)</f>
        <v>2380092</v>
      </c>
      <c r="X12" s="12"/>
      <c r="Y12" s="11">
        <f>SUM(Y13:Y17)</f>
        <v>2485311</v>
      </c>
      <c r="Z12" s="12"/>
      <c r="AA12" s="11">
        <f>SUM(AA13:AA17)</f>
        <v>2313295</v>
      </c>
      <c r="AB12" s="12"/>
      <c r="AC12" s="11">
        <f>SUM(AC13:AC17)</f>
        <v>2306853</v>
      </c>
      <c r="AD12" s="12"/>
      <c r="AE12" s="11">
        <f>SUM(AE13:AE17)</f>
        <v>2341458</v>
      </c>
      <c r="AF12" s="12"/>
      <c r="AG12" s="11">
        <f>SUM(AG13:AG17)</f>
        <v>2520458</v>
      </c>
      <c r="AH12" s="12"/>
      <c r="AI12" s="11">
        <f>SUM(AI13:AI17)</f>
        <v>2294515</v>
      </c>
      <c r="AJ12" s="12"/>
      <c r="AK12" s="11">
        <f>SUM(AK13:AK17)</f>
        <v>2266375</v>
      </c>
      <c r="AL12" s="12"/>
      <c r="AM12" s="11">
        <f>SUM(AM13:AM17)</f>
        <v>2437079</v>
      </c>
      <c r="AN12" s="12"/>
      <c r="AO12" s="11">
        <f>SUM(AO13:AO17)</f>
        <v>2707041</v>
      </c>
      <c r="AP12" s="12"/>
      <c r="AQ12" s="11">
        <f>SUM(AQ13:AQ17)</f>
        <v>2641253.328</v>
      </c>
      <c r="AR12" s="12"/>
      <c r="AS12" s="11">
        <f>SUM(AS13:AS17)</f>
        <v>2687168.9869999997</v>
      </c>
      <c r="AT12" s="12"/>
      <c r="AU12" s="11">
        <f>SUM(AU13:AU17)</f>
        <v>2673456.233</v>
      </c>
      <c r="AV12" s="10"/>
      <c r="AW12" s="11">
        <f>SUM(AW13:AW17)</f>
        <v>2673456.233</v>
      </c>
      <c r="AX12" s="12"/>
      <c r="AY12" s="11">
        <f>SUM(AY13:AY17)</f>
        <v>2507670</v>
      </c>
      <c r="AZ12" s="12"/>
      <c r="BA12" s="11">
        <f>SUM(BA13:BA17)</f>
        <v>2507670</v>
      </c>
      <c r="BB12" s="12"/>
      <c r="BC12" s="11">
        <f>SUM(BC13:BC17)</f>
        <v>2573861.005</v>
      </c>
      <c r="BD12" s="12" t="s">
        <v>76</v>
      </c>
      <c r="BE12" s="11">
        <f>SUM(BE13:BE18)</f>
        <v>447984.469</v>
      </c>
      <c r="BF12" s="12"/>
      <c r="BG12" s="11">
        <f>SUM(BG13:BG17)</f>
        <v>2833455</v>
      </c>
      <c r="BH12" s="12"/>
      <c r="BI12" s="11">
        <f>SUM(BI13:BI17)</f>
        <v>3256955</v>
      </c>
      <c r="BJ12" s="50"/>
      <c r="BK12" s="11">
        <f>SUM(BK13:BK17)</f>
        <v>3250441.09</v>
      </c>
      <c r="BL12" s="50"/>
      <c r="BM12" s="11">
        <f>SUM(BM13:BM17)</f>
        <v>3220437.079</v>
      </c>
      <c r="BN12" s="50"/>
      <c r="BO12" s="11">
        <f>SUM(BO13:BO17)</f>
        <v>2995554.164</v>
      </c>
      <c r="BP12" s="50"/>
    </row>
    <row r="13" spans="3:68" ht="12.75">
      <c r="C13" s="10" t="s">
        <v>62</v>
      </c>
      <c r="D13" s="10"/>
      <c r="E13" s="11">
        <f>1285284</f>
        <v>1285284</v>
      </c>
      <c r="F13" s="12"/>
      <c r="G13" s="11">
        <f>1115854</f>
        <v>1115854</v>
      </c>
      <c r="H13" s="12"/>
      <c r="I13" s="11">
        <f>1100512</f>
        <v>1100512</v>
      </c>
      <c r="J13" s="12"/>
      <c r="K13" s="11">
        <f>1232882</f>
        <v>1232882</v>
      </c>
      <c r="L13" s="12"/>
      <c r="M13" s="11">
        <f>1235866</f>
        <v>1235866</v>
      </c>
      <c r="N13" s="12"/>
      <c r="O13" s="11">
        <f>1240812</f>
        <v>1240812</v>
      </c>
      <c r="P13" s="12"/>
      <c r="Q13" s="11">
        <f>1257673</f>
        <v>1257673</v>
      </c>
      <c r="R13" s="12"/>
      <c r="S13" s="11">
        <f>1458416</f>
        <v>1458416</v>
      </c>
      <c r="T13" s="12"/>
      <c r="U13" s="11">
        <f>1510973</f>
        <v>1510973</v>
      </c>
      <c r="V13" s="10"/>
      <c r="W13" s="11">
        <f>1629783</f>
        <v>1629783</v>
      </c>
      <c r="X13" s="12"/>
      <c r="Y13" s="11">
        <f>1725046</f>
        <v>1725046</v>
      </c>
      <c r="Z13" s="12"/>
      <c r="AA13" s="11">
        <f>2123795</f>
        <v>2123795</v>
      </c>
      <c r="AB13" s="12"/>
      <c r="AC13" s="11">
        <f>2080520</f>
        <v>2080520</v>
      </c>
      <c r="AD13" s="12"/>
      <c r="AE13" s="11">
        <f>2115125</f>
        <v>2115125</v>
      </c>
      <c r="AF13" s="13" t="s">
        <v>76</v>
      </c>
      <c r="AG13" s="11">
        <f>2159125+200000</f>
        <v>2359125</v>
      </c>
      <c r="AH13" s="13" t="s">
        <v>80</v>
      </c>
      <c r="AI13" s="11">
        <f>2159631</f>
        <v>2159631</v>
      </c>
      <c r="AJ13" s="13" t="s">
        <v>76</v>
      </c>
      <c r="AK13" s="11">
        <f>2150125</f>
        <v>2150125</v>
      </c>
      <c r="AL13" s="12"/>
      <c r="AM13" s="11">
        <f>2338923</f>
        <v>2338923</v>
      </c>
      <c r="AN13" s="12" t="s">
        <v>76</v>
      </c>
      <c r="AO13" s="11">
        <f>((2403319000-4100000)/1000)</f>
        <v>2399219</v>
      </c>
      <c r="AP13" s="12" t="s">
        <v>76</v>
      </c>
      <c r="AQ13" s="11">
        <f>2631318328/1000</f>
        <v>2631318.328</v>
      </c>
      <c r="AR13" s="12" t="s">
        <v>77</v>
      </c>
      <c r="AS13" s="11">
        <f>(2608652604/1000)</f>
        <v>2608652.604</v>
      </c>
      <c r="AT13" s="12" t="s">
        <v>77</v>
      </c>
      <c r="AU13" s="11">
        <v>2663040.233</v>
      </c>
      <c r="AV13" s="10"/>
      <c r="AW13" s="11">
        <f>2663040233/1000</f>
        <v>2663040.233</v>
      </c>
      <c r="AX13" s="12" t="s">
        <v>77</v>
      </c>
      <c r="AY13" s="11">
        <f>2497770000/1000</f>
        <v>2497770</v>
      </c>
      <c r="AZ13" s="12"/>
      <c r="BA13" s="11">
        <f>2497770000/1000</f>
        <v>2497770</v>
      </c>
      <c r="BB13" s="12"/>
      <c r="BC13" s="11">
        <f>2564133958/1000</f>
        <v>2564133.958</v>
      </c>
      <c r="BD13" s="12"/>
      <c r="BE13" s="33" t="s">
        <v>27</v>
      </c>
      <c r="BF13" s="12"/>
      <c r="BG13" s="11">
        <f>(2782145000/1000)+(40000000/1000)</f>
        <v>2822145</v>
      </c>
      <c r="BI13" s="11">
        <f>(3195645000/1000)+(50000000/1000)</f>
        <v>3245645</v>
      </c>
      <c r="BJ13" s="50"/>
      <c r="BK13" s="11">
        <f>(3189253710/1000)+(49900000/1000)</f>
        <v>3239153.71</v>
      </c>
      <c r="BL13" s="50"/>
      <c r="BM13" s="11">
        <f>(3159265911/1000)+(49905500/1000)</f>
        <v>3209171.411</v>
      </c>
      <c r="BN13" s="50" t="s">
        <v>77</v>
      </c>
      <c r="BO13" s="11">
        <f>(2938085151/1000)+(46792607/1000)</f>
        <v>2984877.758</v>
      </c>
      <c r="BP13" s="50" t="s">
        <v>77</v>
      </c>
    </row>
    <row r="14" spans="3:68" ht="12.75">
      <c r="C14" s="10" t="s">
        <v>55</v>
      </c>
      <c r="D14" s="10"/>
      <c r="E14" s="33" t="s">
        <v>27</v>
      </c>
      <c r="F14" s="12"/>
      <c r="G14" s="33" t="s">
        <v>27</v>
      </c>
      <c r="H14" s="12"/>
      <c r="I14" s="33" t="s">
        <v>27</v>
      </c>
      <c r="J14" s="12"/>
      <c r="K14" s="33" t="s">
        <v>27</v>
      </c>
      <c r="L14" s="12"/>
      <c r="M14" s="33" t="s">
        <v>27</v>
      </c>
      <c r="N14" s="12"/>
      <c r="O14" s="33" t="s">
        <v>27</v>
      </c>
      <c r="P14" s="12"/>
      <c r="Q14" s="33" t="s">
        <v>27</v>
      </c>
      <c r="R14" s="12"/>
      <c r="S14" s="33" t="s">
        <v>27</v>
      </c>
      <c r="T14" s="12"/>
      <c r="U14" s="33" t="s">
        <v>27</v>
      </c>
      <c r="V14" s="10"/>
      <c r="W14" s="33" t="s">
        <v>27</v>
      </c>
      <c r="X14" s="12"/>
      <c r="Y14" s="33" t="s">
        <v>27</v>
      </c>
      <c r="Z14" s="12"/>
      <c r="AA14" s="33" t="s">
        <v>27</v>
      </c>
      <c r="AB14" s="12"/>
      <c r="AC14" s="33" t="s">
        <v>27</v>
      </c>
      <c r="AD14" s="12"/>
      <c r="AE14" s="33" t="s">
        <v>27</v>
      </c>
      <c r="AF14" s="13"/>
      <c r="AG14" s="33" t="s">
        <v>27</v>
      </c>
      <c r="AH14" s="13"/>
      <c r="AI14" s="33" t="s">
        <v>27</v>
      </c>
      <c r="AJ14" s="13"/>
      <c r="AK14" s="33" t="s">
        <v>27</v>
      </c>
      <c r="AL14" s="12"/>
      <c r="AM14" s="11">
        <v>3500</v>
      </c>
      <c r="AN14" s="14" t="s">
        <v>77</v>
      </c>
      <c r="AO14" s="11">
        <f>4100000/1000</f>
        <v>4100</v>
      </c>
      <c r="AP14" s="15" t="s">
        <v>77</v>
      </c>
      <c r="AQ14" s="33" t="s">
        <v>27</v>
      </c>
      <c r="AR14" s="12"/>
      <c r="AS14" s="33" t="s">
        <v>27</v>
      </c>
      <c r="AT14" s="12"/>
      <c r="AU14" s="11"/>
      <c r="AV14" s="10"/>
      <c r="AW14" s="33" t="s">
        <v>27</v>
      </c>
      <c r="AX14" s="12"/>
      <c r="AY14" s="33" t="s">
        <v>27</v>
      </c>
      <c r="AZ14" s="12"/>
      <c r="BA14" s="33" t="s">
        <v>27</v>
      </c>
      <c r="BB14" s="12"/>
      <c r="BC14" s="33" t="s">
        <v>27</v>
      </c>
      <c r="BD14" s="12"/>
      <c r="BE14" s="33" t="s">
        <v>27</v>
      </c>
      <c r="BF14" s="12"/>
      <c r="BG14" s="33" t="s">
        <v>27</v>
      </c>
      <c r="BH14" s="12"/>
      <c r="BI14" s="33" t="s">
        <v>27</v>
      </c>
      <c r="BJ14" s="50"/>
      <c r="BK14" s="33" t="s">
        <v>27</v>
      </c>
      <c r="BL14" s="50"/>
      <c r="BM14" s="33" t="s">
        <v>27</v>
      </c>
      <c r="BN14" s="50"/>
      <c r="BO14" s="33" t="s">
        <v>27</v>
      </c>
      <c r="BP14" s="50"/>
    </row>
    <row r="15" spans="3:68" ht="12.75">
      <c r="C15" s="10" t="s">
        <v>7</v>
      </c>
      <c r="D15" s="10"/>
      <c r="E15" s="16" t="s">
        <v>8</v>
      </c>
      <c r="F15" s="12"/>
      <c r="G15" s="11">
        <v>203735</v>
      </c>
      <c r="H15" s="12"/>
      <c r="I15" s="11">
        <v>212933</v>
      </c>
      <c r="J15" s="12"/>
      <c r="K15" s="11">
        <v>224004</v>
      </c>
      <c r="L15" s="12"/>
      <c r="M15" s="11">
        <v>244931</v>
      </c>
      <c r="N15" s="12"/>
      <c r="O15" s="11">
        <v>251532</v>
      </c>
      <c r="P15" s="12"/>
      <c r="Q15" s="11">
        <v>247517</v>
      </c>
      <c r="R15" s="12"/>
      <c r="S15" s="11">
        <v>278245</v>
      </c>
      <c r="T15" s="12"/>
      <c r="U15" s="11">
        <v>290723</v>
      </c>
      <c r="V15" s="10"/>
      <c r="W15" s="11">
        <v>327356</v>
      </c>
      <c r="X15" s="12"/>
      <c r="Y15" s="11">
        <v>356928</v>
      </c>
      <c r="Z15" s="12"/>
      <c r="AA15" s="33" t="s">
        <v>27</v>
      </c>
      <c r="AB15" s="12"/>
      <c r="AC15" s="33" t="s">
        <v>27</v>
      </c>
      <c r="AD15" s="12"/>
      <c r="AE15" s="33" t="s">
        <v>27</v>
      </c>
      <c r="AF15" s="12"/>
      <c r="AG15" s="33" t="s">
        <v>27</v>
      </c>
      <c r="AH15" s="12"/>
      <c r="AI15" s="33" t="s">
        <v>27</v>
      </c>
      <c r="AJ15" s="12"/>
      <c r="AK15" s="33" t="s">
        <v>27</v>
      </c>
      <c r="AL15" s="12"/>
      <c r="AM15" s="33" t="s">
        <v>27</v>
      </c>
      <c r="AN15" s="12"/>
      <c r="AO15" s="33" t="s">
        <v>27</v>
      </c>
      <c r="AP15" s="12"/>
      <c r="AQ15" s="33" t="s">
        <v>27</v>
      </c>
      <c r="AR15" s="12"/>
      <c r="AS15" s="33" t="s">
        <v>27</v>
      </c>
      <c r="AT15" s="12"/>
      <c r="AU15" s="11"/>
      <c r="AV15" s="10"/>
      <c r="AW15" s="33" t="s">
        <v>27</v>
      </c>
      <c r="AX15" s="12"/>
      <c r="AY15" s="33" t="s">
        <v>27</v>
      </c>
      <c r="AZ15" s="12"/>
      <c r="BA15" s="33" t="s">
        <v>27</v>
      </c>
      <c r="BB15" s="12"/>
      <c r="BC15" s="33" t="s">
        <v>27</v>
      </c>
      <c r="BD15" s="12"/>
      <c r="BE15" s="33" t="s">
        <v>27</v>
      </c>
      <c r="BF15" s="12"/>
      <c r="BG15" s="33" t="s">
        <v>27</v>
      </c>
      <c r="BH15" s="12"/>
      <c r="BI15" s="33" t="s">
        <v>27</v>
      </c>
      <c r="BJ15" s="50"/>
      <c r="BK15" s="33" t="s">
        <v>27</v>
      </c>
      <c r="BL15" s="50"/>
      <c r="BM15" s="33" t="s">
        <v>27</v>
      </c>
      <c r="BN15" s="50"/>
      <c r="BO15" s="33" t="s">
        <v>27</v>
      </c>
      <c r="BP15" s="50"/>
    </row>
    <row r="16" spans="3:68" ht="12.75">
      <c r="C16" s="10" t="s">
        <v>9</v>
      </c>
      <c r="D16" s="10"/>
      <c r="E16" s="11">
        <v>16806</v>
      </c>
      <c r="F16" s="12"/>
      <c r="G16" s="11">
        <f>17194-200</f>
        <v>16994</v>
      </c>
      <c r="H16" s="12"/>
      <c r="I16" s="11">
        <v>2783</v>
      </c>
      <c r="J16" s="12"/>
      <c r="K16" s="11">
        <v>2272</v>
      </c>
      <c r="L16" s="12"/>
      <c r="M16" s="11">
        <v>4851</v>
      </c>
      <c r="N16" s="12"/>
      <c r="O16" s="11">
        <v>10029</v>
      </c>
      <c r="P16" s="12"/>
      <c r="Q16" s="11">
        <v>5500</v>
      </c>
      <c r="R16" s="12"/>
      <c r="S16" s="11">
        <v>6213</v>
      </c>
      <c r="T16" s="12"/>
      <c r="U16" s="11">
        <v>6486</v>
      </c>
      <c r="V16" s="10"/>
      <c r="W16" s="11">
        <v>8741</v>
      </c>
      <c r="X16" s="12"/>
      <c r="Y16" s="11">
        <v>16295</v>
      </c>
      <c r="Z16" s="12"/>
      <c r="AA16" s="11">
        <v>16551</v>
      </c>
      <c r="AB16" s="13" t="s">
        <v>76</v>
      </c>
      <c r="AC16" s="11">
        <v>10000</v>
      </c>
      <c r="AD16" s="12"/>
      <c r="AE16" s="11">
        <v>10000</v>
      </c>
      <c r="AF16" s="12"/>
      <c r="AG16" s="11">
        <v>10000</v>
      </c>
      <c r="AH16" s="12"/>
      <c r="AI16" s="11">
        <v>10000</v>
      </c>
      <c r="AJ16" s="12"/>
      <c r="AK16" s="11">
        <v>10000</v>
      </c>
      <c r="AL16" s="12"/>
      <c r="AM16" s="11">
        <v>10000</v>
      </c>
      <c r="AN16" s="12"/>
      <c r="AO16" s="11">
        <f>10000000/1000</f>
        <v>10000</v>
      </c>
      <c r="AP16" s="12"/>
      <c r="AQ16" s="11">
        <f>9935000/1000</f>
        <v>9935</v>
      </c>
      <c r="AR16" s="12"/>
      <c r="AS16" s="11">
        <f>9876383/1000</f>
        <v>9876.383</v>
      </c>
      <c r="AT16" s="12"/>
      <c r="AU16" s="11">
        <v>10416</v>
      </c>
      <c r="AV16" s="10"/>
      <c r="AW16" s="11">
        <f>10416000/1000</f>
        <v>10416</v>
      </c>
      <c r="AX16" s="12"/>
      <c r="AY16" s="11">
        <f>9900000/1000</f>
        <v>9900</v>
      </c>
      <c r="AZ16" s="12"/>
      <c r="BA16" s="11">
        <f>9900000/1000</f>
        <v>9900</v>
      </c>
      <c r="BB16" s="12"/>
      <c r="BC16" s="11">
        <f>9727047/1000</f>
        <v>9727.047</v>
      </c>
      <c r="BD16" s="12"/>
      <c r="BE16" s="16" t="s">
        <v>27</v>
      </c>
      <c r="BF16" s="12"/>
      <c r="BG16" s="11">
        <f>11310000/1000</f>
        <v>11310</v>
      </c>
      <c r="BH16" s="12"/>
      <c r="BI16" s="50">
        <f>11310000/1000</f>
        <v>11310</v>
      </c>
      <c r="BJ16" s="50"/>
      <c r="BK16" s="50">
        <f>11287380/1000</f>
        <v>11287.38</v>
      </c>
      <c r="BL16" s="50"/>
      <c r="BM16" s="50">
        <f>11265668/1000</f>
        <v>11265.668</v>
      </c>
      <c r="BN16" s="50"/>
      <c r="BO16" s="50">
        <f>10676406/1000</f>
        <v>10676.406</v>
      </c>
      <c r="BP16" s="50"/>
    </row>
    <row r="17" spans="3:68" ht="12.75">
      <c r="C17" s="10" t="s">
        <v>61</v>
      </c>
      <c r="D17" s="10"/>
      <c r="E17" s="11">
        <f>587310</f>
        <v>587310</v>
      </c>
      <c r="F17" s="12"/>
      <c r="G17" s="11">
        <f>263817</f>
        <v>263817</v>
      </c>
      <c r="H17" s="12"/>
      <c r="I17" s="11">
        <f>271340</f>
        <v>271340</v>
      </c>
      <c r="J17" s="12"/>
      <c r="K17" s="11">
        <f>178410</f>
        <v>178410</v>
      </c>
      <c r="L17" s="12"/>
      <c r="M17" s="11">
        <f>175076</f>
        <v>175076</v>
      </c>
      <c r="N17" s="12"/>
      <c r="O17" s="11">
        <f>155589</f>
        <v>155589</v>
      </c>
      <c r="P17" s="12"/>
      <c r="Q17" s="11">
        <f>290385</f>
        <v>290385</v>
      </c>
      <c r="R17" s="12"/>
      <c r="S17" s="11">
        <f>391539</f>
        <v>391539</v>
      </c>
      <c r="T17" s="12"/>
      <c r="U17" s="11">
        <v>756903</v>
      </c>
      <c r="V17" s="10"/>
      <c r="W17" s="11">
        <f>414212</f>
        <v>414212</v>
      </c>
      <c r="X17" s="12"/>
      <c r="Y17" s="11">
        <f>387042</f>
        <v>387042</v>
      </c>
      <c r="Z17" s="12"/>
      <c r="AA17" s="11">
        <f>172137+812</f>
        <v>172949</v>
      </c>
      <c r="AB17" s="13"/>
      <c r="AC17" s="11">
        <f>216333</f>
        <v>216333</v>
      </c>
      <c r="AD17" s="12"/>
      <c r="AE17" s="11">
        <f>216333</f>
        <v>216333</v>
      </c>
      <c r="AF17" s="12"/>
      <c r="AG17" s="11">
        <f>151333</f>
        <v>151333</v>
      </c>
      <c r="AH17" s="12" t="s">
        <v>76</v>
      </c>
      <c r="AI17" s="11">
        <f>124884</f>
        <v>124884</v>
      </c>
      <c r="AJ17" s="12" t="s">
        <v>77</v>
      </c>
      <c r="AK17" s="11">
        <f>106250</f>
        <v>106250</v>
      </c>
      <c r="AL17" s="12"/>
      <c r="AM17" s="11">
        <f>84656</f>
        <v>84656</v>
      </c>
      <c r="AN17" s="12"/>
      <c r="AO17" s="11">
        <f>293722</f>
        <v>293722</v>
      </c>
      <c r="AP17" s="12"/>
      <c r="AQ17" s="11">
        <v>0</v>
      </c>
      <c r="AR17" s="12"/>
      <c r="AS17" s="11">
        <f>68640</f>
        <v>68640</v>
      </c>
      <c r="AT17" s="12"/>
      <c r="AU17" s="11"/>
      <c r="AV17" s="10"/>
      <c r="AW17" s="42">
        <v>0</v>
      </c>
      <c r="AX17" s="12"/>
      <c r="AY17" s="42">
        <v>0</v>
      </c>
      <c r="AZ17" s="12"/>
      <c r="BA17" s="11">
        <v>0</v>
      </c>
      <c r="BB17" s="12"/>
      <c r="BC17" s="11">
        <v>0</v>
      </c>
      <c r="BD17" s="12"/>
      <c r="BE17" s="16" t="s">
        <v>27</v>
      </c>
      <c r="BF17" s="12"/>
      <c r="BG17" s="11">
        <v>0</v>
      </c>
      <c r="BH17" s="12"/>
      <c r="BI17" s="50">
        <v>0</v>
      </c>
      <c r="BJ17" s="50"/>
      <c r="BK17" s="50">
        <v>0</v>
      </c>
      <c r="BL17" s="50"/>
      <c r="BM17" s="50">
        <v>0</v>
      </c>
      <c r="BN17" s="50"/>
      <c r="BO17" s="50">
        <v>0</v>
      </c>
      <c r="BP17" s="50"/>
    </row>
    <row r="18" spans="3:68" ht="12.75">
      <c r="C18" s="10" t="s">
        <v>108</v>
      </c>
      <c r="D18" s="10"/>
      <c r="E18" s="11"/>
      <c r="F18" s="12"/>
      <c r="G18" s="11"/>
      <c r="H18" s="12"/>
      <c r="I18" s="11"/>
      <c r="J18" s="12"/>
      <c r="K18" s="11"/>
      <c r="L18" s="12"/>
      <c r="M18" s="11"/>
      <c r="N18" s="12"/>
      <c r="O18" s="11"/>
      <c r="P18" s="12"/>
      <c r="Q18" s="11"/>
      <c r="R18" s="12"/>
      <c r="S18" s="11"/>
      <c r="T18" s="12"/>
      <c r="U18" s="11"/>
      <c r="V18" s="10"/>
      <c r="W18" s="11"/>
      <c r="X18" s="12"/>
      <c r="Y18" s="11"/>
      <c r="Z18" s="12"/>
      <c r="AA18" s="11"/>
      <c r="AB18" s="13"/>
      <c r="AC18" s="11"/>
      <c r="AD18" s="12"/>
      <c r="AE18" s="11"/>
      <c r="AF18" s="12"/>
      <c r="AG18" s="11"/>
      <c r="AH18" s="12"/>
      <c r="AI18" s="11"/>
      <c r="AJ18" s="12"/>
      <c r="AK18" s="11"/>
      <c r="AL18" s="12"/>
      <c r="AM18" s="11"/>
      <c r="AN18" s="12"/>
      <c r="AO18" s="11"/>
      <c r="AP18" s="12"/>
      <c r="AQ18" s="11"/>
      <c r="AR18" s="12"/>
      <c r="AS18" s="11"/>
      <c r="AT18" s="12"/>
      <c r="AU18" s="11"/>
      <c r="AV18" s="10"/>
      <c r="AW18" s="42"/>
      <c r="AX18" s="12"/>
      <c r="AY18" s="42"/>
      <c r="AZ18" s="12"/>
      <c r="BA18" s="11"/>
      <c r="BB18" s="12"/>
      <c r="BC18" s="11"/>
      <c r="BD18" s="12"/>
      <c r="BE18" s="11">
        <f>447984469/1000</f>
        <v>447984.469</v>
      </c>
      <c r="BF18" s="12"/>
      <c r="BG18" s="11"/>
      <c r="BH18" s="12"/>
      <c r="BI18" s="50"/>
      <c r="BJ18" s="50"/>
      <c r="BK18" s="50"/>
      <c r="BL18" s="50"/>
      <c r="BM18" s="50"/>
      <c r="BN18" s="50"/>
      <c r="BO18" s="50"/>
      <c r="BP18" s="50"/>
    </row>
    <row r="19" spans="2:68" ht="12.75">
      <c r="B19" s="8" t="s">
        <v>10</v>
      </c>
      <c r="C19" s="10"/>
      <c r="D19" s="10"/>
      <c r="E19" s="11">
        <f>SUM(E20:E24)+E31+E32</f>
        <v>1342100</v>
      </c>
      <c r="F19" s="12"/>
      <c r="G19" s="11">
        <f>SUM(G20:G24)+G31+G32</f>
        <v>830165</v>
      </c>
      <c r="H19" s="12"/>
      <c r="I19" s="11">
        <f>SUM(I20:I24)+I31+I32</f>
        <v>789539</v>
      </c>
      <c r="J19" s="12"/>
      <c r="K19" s="11">
        <f>SUM(K20:K24)+K31+K32</f>
        <v>792733</v>
      </c>
      <c r="L19" s="12"/>
      <c r="M19" s="11">
        <f>SUM(M20:M24)+M31+M32</f>
        <v>795084</v>
      </c>
      <c r="N19" s="12"/>
      <c r="O19" s="11">
        <f>SUM(O20:O24)+O31+O32</f>
        <v>814553</v>
      </c>
      <c r="P19" s="12"/>
      <c r="Q19" s="11">
        <f>SUM(Q20:Q24)+Q31+Q32</f>
        <v>860191</v>
      </c>
      <c r="R19" s="12"/>
      <c r="S19" s="11">
        <f>SUM(S20:S24)+S31+S32</f>
        <v>884544</v>
      </c>
      <c r="T19" s="12"/>
      <c r="U19" s="11">
        <f>SUM(U20:U24)+U31+U32</f>
        <v>923746</v>
      </c>
      <c r="V19" s="10"/>
      <c r="W19" s="11">
        <f>SUM(W20:W24)+W31+W32</f>
        <v>894596</v>
      </c>
      <c r="X19" s="12"/>
      <c r="Y19" s="11">
        <f>SUM(Y20:Y24)+SUM(Y31:Y32)</f>
        <v>968348</v>
      </c>
      <c r="Z19" s="12"/>
      <c r="AA19" s="11">
        <f>SUM(AA20:AA24)+SUM(AA31:AA32)</f>
        <v>1015290</v>
      </c>
      <c r="AB19" s="12"/>
      <c r="AC19" s="11">
        <f>SUM(AC20:AC24)+SUM(AC31:AC32)</f>
        <v>930668</v>
      </c>
      <c r="AD19" s="12"/>
      <c r="AE19" s="11">
        <f>SUM(AE20:AE24)+SUM(AE31:AE32)</f>
        <v>974470</v>
      </c>
      <c r="AF19" s="12"/>
      <c r="AG19" s="11">
        <f>SUM(AG20:AG24)+SUM(AG31:AG32)</f>
        <v>974470</v>
      </c>
      <c r="AH19" s="12"/>
      <c r="AI19" s="11">
        <f>SUM(AI20:AI24)+SUM(AI31:AI32)</f>
        <v>968115</v>
      </c>
      <c r="AJ19" s="12"/>
      <c r="AK19" s="11">
        <f>SUM(AK20:AK24)+SUM(AK31:AK32)</f>
        <v>968105</v>
      </c>
      <c r="AL19" s="12"/>
      <c r="AM19" s="11">
        <f>SUM(AM20:AM24)+SUM(AM31:AM32)</f>
        <v>1016415</v>
      </c>
      <c r="AN19" s="12"/>
      <c r="AO19" s="11">
        <f>SUM(AO20:AO24)+SUM(AO31:AO32)</f>
        <v>987415</v>
      </c>
      <c r="AP19" s="12"/>
      <c r="AQ19" s="11">
        <f>SUM(AQ20:AQ24)+SUM(AQ31:AQ32)</f>
        <v>966126.8019999999</v>
      </c>
      <c r="AR19" s="12"/>
      <c r="AS19" s="11">
        <f>SUM(AS20:AS24)+SUM(AS31:AS32)</f>
        <v>964374.4299999999</v>
      </c>
      <c r="AT19" s="12"/>
      <c r="AU19" s="11">
        <f>SUM(AU20:AU24)+SUM(AU31:AU32)</f>
        <v>963252.832</v>
      </c>
      <c r="AV19" s="10"/>
      <c r="AW19" s="11">
        <f>SUM(AW20:AW24)+SUM(AW31:AW32)</f>
        <v>963252.832</v>
      </c>
      <c r="AX19" s="12"/>
      <c r="AY19" s="11">
        <f>SUM(AY20:AY24)+SUM(AY31:AY32)</f>
        <v>850487.22</v>
      </c>
      <c r="AZ19" s="12"/>
      <c r="BA19" s="11">
        <f>SUM(BA20:BA24)+SUM(BA31:BA32)</f>
        <v>832680</v>
      </c>
      <c r="BB19" s="12"/>
      <c r="BC19" s="11">
        <f>SUM(BC20:BC24)+SUM(BC31:BC32)</f>
        <v>801972.536</v>
      </c>
      <c r="BD19" s="12"/>
      <c r="BE19" s="11">
        <f>SUM(BE20:BE24)+SUM(BE31:BE32)</f>
        <v>396000</v>
      </c>
      <c r="BF19" s="12" t="s">
        <v>76</v>
      </c>
      <c r="BG19" s="11">
        <f>SUM(BG20:BG24)+SUM(BG31:BG32)</f>
        <v>793460</v>
      </c>
      <c r="BH19" s="12"/>
      <c r="BI19" s="11">
        <f>SUM(BI20:BI24)+SUM(BI31:BI32)</f>
        <v>788290</v>
      </c>
      <c r="BJ19" s="50"/>
      <c r="BK19" s="11">
        <f>SUM(BK20:BK24)+SUM(BK31:BK32)</f>
        <v>786713.42</v>
      </c>
      <c r="BL19" s="50"/>
      <c r="BM19" s="11">
        <f>SUM(BM20:BM24)+SUM(BM31:BM32)</f>
        <v>785227.11</v>
      </c>
      <c r="BN19" s="50"/>
      <c r="BO19" s="11">
        <f>SUM(BO20:BO24)+SUM(BO31:BO32)</f>
        <v>744155.0210000001</v>
      </c>
      <c r="BP19" s="50"/>
    </row>
    <row r="20" spans="3:68" ht="12.75">
      <c r="C20" s="10" t="s">
        <v>11</v>
      </c>
      <c r="D20" s="10"/>
      <c r="E20" s="11">
        <v>1271393</v>
      </c>
      <c r="F20" s="13" t="s">
        <v>76</v>
      </c>
      <c r="G20" s="11">
        <v>777398</v>
      </c>
      <c r="H20" s="12"/>
      <c r="I20" s="11">
        <v>758135</v>
      </c>
      <c r="J20" s="12"/>
      <c r="K20" s="11">
        <v>755200</v>
      </c>
      <c r="L20" s="12"/>
      <c r="M20" s="11">
        <v>738029</v>
      </c>
      <c r="N20" s="12"/>
      <c r="O20" s="11">
        <v>763752</v>
      </c>
      <c r="P20" s="12"/>
      <c r="Q20" s="11">
        <v>779039</v>
      </c>
      <c r="R20" s="12"/>
      <c r="S20" s="11">
        <v>805107</v>
      </c>
      <c r="T20" s="12"/>
      <c r="U20" s="11">
        <v>821608</v>
      </c>
      <c r="V20" s="10"/>
      <c r="W20" s="11">
        <v>810960</v>
      </c>
      <c r="X20" s="12"/>
      <c r="Y20" s="11">
        <v>832856</v>
      </c>
      <c r="Z20" s="12"/>
      <c r="AA20" s="11">
        <v>838912</v>
      </c>
      <c r="AB20" s="12"/>
      <c r="AC20" s="11">
        <v>761735</v>
      </c>
      <c r="AD20" s="12"/>
      <c r="AE20" s="11">
        <v>761735</v>
      </c>
      <c r="AF20" s="12"/>
      <c r="AG20" s="11">
        <v>761735</v>
      </c>
      <c r="AH20" s="12"/>
      <c r="AI20" s="11">
        <v>761735</v>
      </c>
      <c r="AJ20" s="12"/>
      <c r="AK20" s="11">
        <v>761735</v>
      </c>
      <c r="AL20" s="12"/>
      <c r="AM20" s="11">
        <v>761735</v>
      </c>
      <c r="AN20" s="12"/>
      <c r="AO20" s="11">
        <f>761735000/1000</f>
        <v>761735</v>
      </c>
      <c r="AP20" s="12"/>
      <c r="AQ20" s="11">
        <f>756783722/1000</f>
        <v>756783.722</v>
      </c>
      <c r="AR20" s="12"/>
      <c r="AS20" s="11">
        <f>752319968/1000</f>
        <v>752319.968</v>
      </c>
      <c r="AT20" s="12"/>
      <c r="AU20" s="11">
        <v>746301.44</v>
      </c>
      <c r="AV20" s="10"/>
      <c r="AW20" s="11">
        <f>746301440/1000</f>
        <v>746301.44</v>
      </c>
      <c r="AX20" s="12"/>
      <c r="AY20" s="11">
        <f>715882860/1000</f>
        <v>715882.86</v>
      </c>
      <c r="AZ20" s="12"/>
      <c r="BA20" s="11">
        <f>715883000/1000</f>
        <v>715883</v>
      </c>
      <c r="BB20" s="12"/>
      <c r="BC20" s="11">
        <f>703376524/1000</f>
        <v>703376.524</v>
      </c>
      <c r="BD20" s="12"/>
      <c r="BE20" s="11">
        <f>148500000/1000</f>
        <v>148500</v>
      </c>
      <c r="BF20" s="12"/>
      <c r="BG20" s="11">
        <f>703576000/1000</f>
        <v>703576</v>
      </c>
      <c r="BH20" s="12"/>
      <c r="BI20" s="50">
        <f>703576000/1000</f>
        <v>703576</v>
      </c>
      <c r="BJ20" s="50"/>
      <c r="BK20" s="50">
        <f>702168848/1000</f>
        <v>702168.848</v>
      </c>
      <c r="BL20" s="50"/>
      <c r="BM20" s="50">
        <f>700841900/1000</f>
        <v>700841.9</v>
      </c>
      <c r="BN20" s="50"/>
      <c r="BO20" s="50">
        <f>664183664/1000</f>
        <v>664183.664</v>
      </c>
      <c r="BP20" s="50"/>
    </row>
    <row r="21" spans="3:68" ht="12.75">
      <c r="C21" s="10" t="s">
        <v>44</v>
      </c>
      <c r="D21" s="10"/>
      <c r="E21" s="33" t="s">
        <v>27</v>
      </c>
      <c r="F21" s="12"/>
      <c r="G21" s="33" t="s">
        <v>27</v>
      </c>
      <c r="H21" s="12"/>
      <c r="I21" s="33" t="s">
        <v>27</v>
      </c>
      <c r="J21" s="12"/>
      <c r="K21" s="33" t="s">
        <v>27</v>
      </c>
      <c r="L21" s="12"/>
      <c r="M21" s="33" t="s">
        <v>27</v>
      </c>
      <c r="N21" s="12"/>
      <c r="O21" s="33" t="s">
        <v>27</v>
      </c>
      <c r="P21" s="12"/>
      <c r="Q21" s="33" t="s">
        <v>27</v>
      </c>
      <c r="R21" s="12"/>
      <c r="S21" s="33" t="s">
        <v>27</v>
      </c>
      <c r="T21" s="12"/>
      <c r="U21" s="33" t="s">
        <v>27</v>
      </c>
      <c r="V21" s="12"/>
      <c r="W21" s="33" t="s">
        <v>27</v>
      </c>
      <c r="X21" s="12"/>
      <c r="Y21" s="33" t="s">
        <v>27</v>
      </c>
      <c r="Z21" s="12"/>
      <c r="AA21" s="33" t="s">
        <v>27</v>
      </c>
      <c r="AB21" s="12"/>
      <c r="AC21" s="33" t="s">
        <v>27</v>
      </c>
      <c r="AD21" s="12"/>
      <c r="AE21" s="33" t="s">
        <v>27</v>
      </c>
      <c r="AF21" s="12"/>
      <c r="AG21" s="33" t="s">
        <v>27</v>
      </c>
      <c r="AH21" s="12"/>
      <c r="AI21" s="16" t="s">
        <v>27</v>
      </c>
      <c r="AJ21" s="12"/>
      <c r="AK21" s="33" t="s">
        <v>27</v>
      </c>
      <c r="AL21" s="12"/>
      <c r="AM21" s="11">
        <v>35000</v>
      </c>
      <c r="AN21" s="12"/>
      <c r="AO21" s="11">
        <f>35000000/1000</f>
        <v>35000</v>
      </c>
      <c r="AP21" s="12"/>
      <c r="AQ21" s="11">
        <f>34772500/1000</f>
        <v>34772.5</v>
      </c>
      <c r="AR21" s="12"/>
      <c r="AS21" s="11">
        <f>34566846/1000</f>
        <v>34566.846</v>
      </c>
      <c r="AT21" s="12"/>
      <c r="AU21" s="11">
        <v>34290.464</v>
      </c>
      <c r="AV21" s="10"/>
      <c r="AW21" s="11">
        <f>34290464/1000</f>
        <v>34290.464</v>
      </c>
      <c r="AX21" s="12"/>
      <c r="AY21" s="11">
        <v>0</v>
      </c>
      <c r="AZ21" s="12"/>
      <c r="BA21" s="11">
        <v>0</v>
      </c>
      <c r="BB21" s="12"/>
      <c r="BC21" s="11">
        <v>0</v>
      </c>
      <c r="BD21" s="12"/>
      <c r="BE21" s="11">
        <f>247500000/1000</f>
        <v>247500</v>
      </c>
      <c r="BF21" s="12"/>
      <c r="BG21" s="11">
        <v>0</v>
      </c>
      <c r="BH21" s="12"/>
      <c r="BI21" s="50">
        <v>0</v>
      </c>
      <c r="BJ21" s="50"/>
      <c r="BK21" s="50">
        <v>0</v>
      </c>
      <c r="BL21" s="50"/>
      <c r="BM21" s="50">
        <v>0</v>
      </c>
      <c r="BN21" s="50"/>
      <c r="BO21" s="50">
        <v>0</v>
      </c>
      <c r="BP21" s="50"/>
    </row>
    <row r="22" spans="3:68" ht="12.75">
      <c r="C22" s="10" t="s">
        <v>12</v>
      </c>
      <c r="D22" s="10"/>
      <c r="E22" s="33" t="s">
        <v>27</v>
      </c>
      <c r="F22" s="12"/>
      <c r="G22" s="33" t="s">
        <v>27</v>
      </c>
      <c r="H22" s="12"/>
      <c r="I22" s="33" t="s">
        <v>27</v>
      </c>
      <c r="J22" s="12"/>
      <c r="K22" s="33" t="s">
        <v>27</v>
      </c>
      <c r="L22" s="12"/>
      <c r="M22" s="33" t="s">
        <v>27</v>
      </c>
      <c r="N22" s="12"/>
      <c r="O22" s="33" t="s">
        <v>27</v>
      </c>
      <c r="P22" s="12"/>
      <c r="Q22" s="33" t="s">
        <v>27</v>
      </c>
      <c r="R22" s="12"/>
      <c r="S22" s="33" t="s">
        <v>27</v>
      </c>
      <c r="T22" s="12"/>
      <c r="U22" s="33" t="s">
        <v>27</v>
      </c>
      <c r="V22" s="12"/>
      <c r="W22" s="33" t="s">
        <v>27</v>
      </c>
      <c r="X22" s="12"/>
      <c r="Y22" s="11">
        <v>50000</v>
      </c>
      <c r="Z22" s="12"/>
      <c r="AA22" s="11">
        <v>100000</v>
      </c>
      <c r="AB22" s="12"/>
      <c r="AC22" s="11">
        <v>110000</v>
      </c>
      <c r="AD22" s="12"/>
      <c r="AE22" s="11">
        <v>150000</v>
      </c>
      <c r="AF22" s="12"/>
      <c r="AG22" s="11">
        <v>150000</v>
      </c>
      <c r="AH22" s="12"/>
      <c r="AI22" s="11">
        <v>146500</v>
      </c>
      <c r="AJ22" s="12"/>
      <c r="AK22" s="11">
        <v>120000</v>
      </c>
      <c r="AL22" s="12"/>
      <c r="AM22" s="11">
        <v>150000</v>
      </c>
      <c r="AN22" s="12"/>
      <c r="AO22" s="11">
        <f>120000000/1000</f>
        <v>120000</v>
      </c>
      <c r="AP22" s="12"/>
      <c r="AQ22" s="11">
        <f>99350000/1000</f>
        <v>99350</v>
      </c>
      <c r="AR22" s="12"/>
      <c r="AS22" s="11">
        <f>98763835/1000</f>
        <v>98763.835</v>
      </c>
      <c r="AT22" s="12"/>
      <c r="AU22" s="11">
        <v>97973.888</v>
      </c>
      <c r="AV22" s="10"/>
      <c r="AW22" s="11">
        <f>97973888/1000</f>
        <v>97973.888</v>
      </c>
      <c r="AX22" s="12"/>
      <c r="AY22" s="11">
        <f>81662130/1000</f>
        <v>81662.13</v>
      </c>
      <c r="AZ22" s="12"/>
      <c r="BA22" s="11">
        <f>63855000/1000</f>
        <v>63855</v>
      </c>
      <c r="BB22" s="12"/>
      <c r="BC22" s="11">
        <f>52059352/1000</f>
        <v>52059.352</v>
      </c>
      <c r="BD22" s="12"/>
      <c r="BE22" s="16" t="s">
        <v>27</v>
      </c>
      <c r="BF22" s="12"/>
      <c r="BG22" s="11">
        <f>51720000/1000</f>
        <v>51720</v>
      </c>
      <c r="BH22" s="12"/>
      <c r="BI22" s="50">
        <f>63720000/1000</f>
        <v>63720</v>
      </c>
      <c r="BJ22" s="50"/>
      <c r="BK22" s="50">
        <f>63592560/1000</f>
        <v>63592.56</v>
      </c>
      <c r="BL22" s="50"/>
      <c r="BM22" s="50">
        <f>63472809/1000</f>
        <v>63472.809</v>
      </c>
      <c r="BN22" s="50"/>
      <c r="BO22" s="50">
        <f>60152800/1000</f>
        <v>60152.8</v>
      </c>
      <c r="BP22" s="50"/>
    </row>
    <row r="23" spans="3:68" ht="12.75">
      <c r="C23" s="10" t="s">
        <v>45</v>
      </c>
      <c r="D23" s="10"/>
      <c r="E23" s="33" t="s">
        <v>27</v>
      </c>
      <c r="F23" s="12"/>
      <c r="G23" s="33" t="s">
        <v>27</v>
      </c>
      <c r="H23" s="12"/>
      <c r="I23" s="33" t="s">
        <v>27</v>
      </c>
      <c r="J23" s="12"/>
      <c r="K23" s="33" t="s">
        <v>27</v>
      </c>
      <c r="L23" s="12"/>
      <c r="M23" s="33" t="s">
        <v>27</v>
      </c>
      <c r="N23" s="12"/>
      <c r="O23" s="33" t="s">
        <v>27</v>
      </c>
      <c r="P23" s="12"/>
      <c r="Q23" s="33" t="s">
        <v>27</v>
      </c>
      <c r="R23" s="12"/>
      <c r="S23" s="33" t="s">
        <v>27</v>
      </c>
      <c r="T23" s="12"/>
      <c r="U23" s="33" t="s">
        <v>27</v>
      </c>
      <c r="V23" s="12"/>
      <c r="W23" s="33" t="s">
        <v>27</v>
      </c>
      <c r="X23" s="12"/>
      <c r="Y23" s="33" t="s">
        <v>27</v>
      </c>
      <c r="Z23" s="12"/>
      <c r="AA23" s="33" t="s">
        <v>27</v>
      </c>
      <c r="AB23" s="12"/>
      <c r="AC23" s="33" t="s">
        <v>27</v>
      </c>
      <c r="AD23" s="12"/>
      <c r="AE23" s="33" t="s">
        <v>27</v>
      </c>
      <c r="AF23" s="12"/>
      <c r="AG23" s="33" t="s">
        <v>27</v>
      </c>
      <c r="AH23" s="12"/>
      <c r="AI23" s="33" t="s">
        <v>27</v>
      </c>
      <c r="AJ23" s="12"/>
      <c r="AK23" s="11">
        <v>20000</v>
      </c>
      <c r="AL23" s="12"/>
      <c r="AM23" s="11">
        <v>20000</v>
      </c>
      <c r="AN23" s="12"/>
      <c r="AO23" s="11">
        <f>20000000/1000</f>
        <v>20000</v>
      </c>
      <c r="AP23" s="12"/>
      <c r="AQ23" s="11">
        <f>19870000/1000</f>
        <v>19870</v>
      </c>
      <c r="AR23" s="12"/>
      <c r="AS23" s="11">
        <f>19752767/1000</f>
        <v>19752.767</v>
      </c>
      <c r="AT23" s="12"/>
      <c r="AU23" s="11">
        <v>19711.04</v>
      </c>
      <c r="AV23" s="10"/>
      <c r="AW23" s="11">
        <f>19711040/1000</f>
        <v>19711.04</v>
      </c>
      <c r="AX23" s="12"/>
      <c r="AY23" s="11">
        <f>19513890/1000</f>
        <v>19513.89</v>
      </c>
      <c r="AZ23" s="12"/>
      <c r="BA23" s="11">
        <f>19514000/1000</f>
        <v>19514</v>
      </c>
      <c r="BB23" s="12"/>
      <c r="BC23" s="11">
        <f>14393082/1000</f>
        <v>14393.082</v>
      </c>
      <c r="BD23" s="12"/>
      <c r="BE23" s="16" t="s">
        <v>27</v>
      </c>
      <c r="BF23" s="12"/>
      <c r="BG23" s="11">
        <f>17295000/1000</f>
        <v>17295</v>
      </c>
      <c r="BH23" s="12"/>
      <c r="BI23" s="16" t="s">
        <v>27</v>
      </c>
      <c r="BJ23" s="12"/>
      <c r="BK23" s="16" t="s">
        <v>27</v>
      </c>
      <c r="BL23" s="12"/>
      <c r="BM23" s="16" t="s">
        <v>27</v>
      </c>
      <c r="BN23" s="12"/>
      <c r="BO23" s="16" t="s">
        <v>27</v>
      </c>
      <c r="BP23" s="12"/>
    </row>
    <row r="24" spans="3:68" ht="12.75">
      <c r="C24" s="10" t="s">
        <v>9</v>
      </c>
      <c r="D24" s="10"/>
      <c r="E24" s="11">
        <f>SUM(E25:E30)</f>
        <v>18380</v>
      </c>
      <c r="F24" s="12"/>
      <c r="G24" s="11">
        <f>SUM(G25:G30)</f>
        <v>52767</v>
      </c>
      <c r="H24" s="12"/>
      <c r="I24" s="11">
        <f>SUM(I25:I30)</f>
        <v>31404</v>
      </c>
      <c r="J24" s="12"/>
      <c r="K24" s="11">
        <f>SUM(K25:K30)</f>
        <v>37533</v>
      </c>
      <c r="L24" s="12"/>
      <c r="M24" s="11">
        <f>SUM(M25:M30)</f>
        <v>57055</v>
      </c>
      <c r="N24" s="12"/>
      <c r="O24" s="11">
        <f>SUM(O25:O30)</f>
        <v>50801</v>
      </c>
      <c r="P24" s="12"/>
      <c r="Q24" s="11">
        <f>SUM(Q25:Q30)</f>
        <v>81152</v>
      </c>
      <c r="R24" s="12"/>
      <c r="S24" s="11">
        <f>SUM(S25:S30)</f>
        <v>79437</v>
      </c>
      <c r="T24" s="12"/>
      <c r="U24" s="11">
        <f>SUM(U25:U30)</f>
        <v>102138</v>
      </c>
      <c r="V24" s="10"/>
      <c r="W24" s="11">
        <f>SUM(W25:W30)</f>
        <v>83636</v>
      </c>
      <c r="X24" s="12"/>
      <c r="Y24" s="11">
        <f>SUM(Y25:Y30)</f>
        <v>85492</v>
      </c>
      <c r="Z24" s="12"/>
      <c r="AA24" s="11">
        <f>SUM(AA25:AA30)</f>
        <v>76378</v>
      </c>
      <c r="AB24" s="12"/>
      <c r="AC24" s="11">
        <f>SUM(AC25:AC30)</f>
        <v>58933</v>
      </c>
      <c r="AD24" s="12"/>
      <c r="AE24" s="11">
        <f>SUM(AE25:AE30)</f>
        <v>62735</v>
      </c>
      <c r="AF24" s="12"/>
      <c r="AG24" s="11">
        <f>SUM(AG25:AG30)</f>
        <v>62735</v>
      </c>
      <c r="AH24" s="12"/>
      <c r="AI24" s="11">
        <f>SUM(AI25:AI30)</f>
        <v>59880</v>
      </c>
      <c r="AJ24" s="12"/>
      <c r="AK24" s="11">
        <f>SUM(AK25:AK30)</f>
        <v>66370</v>
      </c>
      <c r="AL24" s="12"/>
      <c r="AM24" s="11">
        <f>SUM(AM25:AM30)</f>
        <v>49680</v>
      </c>
      <c r="AN24" s="12"/>
      <c r="AO24" s="11">
        <f>SUM(AO25:AO30)</f>
        <v>50680</v>
      </c>
      <c r="AP24" s="12"/>
      <c r="AQ24" s="11">
        <f>SUM(AQ25:AQ30)</f>
        <v>55350.58</v>
      </c>
      <c r="AR24" s="12"/>
      <c r="AS24" s="11">
        <f>SUM(AS25:AS30)</f>
        <v>58971.014</v>
      </c>
      <c r="AT24" s="12"/>
      <c r="AU24" s="11">
        <f>SUM(AU25:AU30)</f>
        <v>64976</v>
      </c>
      <c r="AV24" s="10"/>
      <c r="AW24" s="11">
        <f>SUM(AW25:AW30)</f>
        <v>64976</v>
      </c>
      <c r="AX24" s="12"/>
      <c r="AY24" s="11">
        <f>SUM(AY25:AY30)</f>
        <v>33428.34</v>
      </c>
      <c r="AZ24" s="12"/>
      <c r="BA24" s="11">
        <f>SUM(BA25:BA30)</f>
        <v>33428</v>
      </c>
      <c r="BB24" s="12"/>
      <c r="BC24" s="11">
        <f>SUM(BC25:BC30)</f>
        <v>32143.578</v>
      </c>
      <c r="BD24" s="12"/>
      <c r="BE24" s="16" t="s">
        <v>27</v>
      </c>
      <c r="BF24" s="12"/>
      <c r="BG24" s="11">
        <f>SUM(BG25:BG30)</f>
        <v>20869</v>
      </c>
      <c r="BH24" s="12"/>
      <c r="BI24" s="11">
        <f>SUM(BI25:BI30)</f>
        <v>20994</v>
      </c>
      <c r="BJ24" s="50"/>
      <c r="BK24" s="11">
        <f>SUM(BK25:BK30)</f>
        <v>20952.012</v>
      </c>
      <c r="BL24" s="50"/>
      <c r="BM24" s="11">
        <f>SUM(BM25:BM30)</f>
        <v>20912.400999999998</v>
      </c>
      <c r="BN24" s="50"/>
      <c r="BO24" s="11">
        <f>SUM(BO25:BO30)</f>
        <v>19818.557</v>
      </c>
      <c r="BP24" s="50"/>
    </row>
    <row r="25" spans="4:68" ht="12.75">
      <c r="D25" s="17" t="s">
        <v>13</v>
      </c>
      <c r="E25" s="33" t="s">
        <v>27</v>
      </c>
      <c r="F25" s="12"/>
      <c r="G25" s="11">
        <v>27500</v>
      </c>
      <c r="H25" s="12"/>
      <c r="I25" s="11">
        <v>6932</v>
      </c>
      <c r="J25" s="12"/>
      <c r="K25" s="11">
        <v>15000</v>
      </c>
      <c r="L25" s="12"/>
      <c r="M25" s="11">
        <v>28722</v>
      </c>
      <c r="N25" s="12"/>
      <c r="O25" s="11">
        <v>14152</v>
      </c>
      <c r="P25" s="12"/>
      <c r="Q25" s="11">
        <v>24653</v>
      </c>
      <c r="R25" s="12"/>
      <c r="S25" s="11">
        <v>19518</v>
      </c>
      <c r="T25" s="12"/>
      <c r="U25" s="11">
        <v>20000</v>
      </c>
      <c r="V25" s="10"/>
      <c r="W25" s="11">
        <v>14880</v>
      </c>
      <c r="X25" s="12"/>
      <c r="Y25" s="11">
        <v>14880</v>
      </c>
      <c r="Z25" s="12"/>
      <c r="AA25" s="11">
        <v>10250</v>
      </c>
      <c r="AB25" s="12"/>
      <c r="AC25" s="33" t="s">
        <v>27</v>
      </c>
      <c r="AD25" s="12"/>
      <c r="AE25" s="33" t="s">
        <v>27</v>
      </c>
      <c r="AF25" s="12"/>
      <c r="AG25" s="33" t="s">
        <v>27</v>
      </c>
      <c r="AH25" s="12"/>
      <c r="AI25" s="33" t="s">
        <v>27</v>
      </c>
      <c r="AJ25" s="12"/>
      <c r="AK25" s="33" t="s">
        <v>27</v>
      </c>
      <c r="AL25" s="12"/>
      <c r="AM25" s="33" t="s">
        <v>27</v>
      </c>
      <c r="AN25" s="12"/>
      <c r="AO25" s="33" t="s">
        <v>27</v>
      </c>
      <c r="AP25" s="12"/>
      <c r="AQ25" s="33" t="s">
        <v>27</v>
      </c>
      <c r="AR25" s="12"/>
      <c r="AS25" s="33" t="s">
        <v>27</v>
      </c>
      <c r="AT25" s="12"/>
      <c r="AU25" s="11"/>
      <c r="AV25" s="10"/>
      <c r="AW25" s="33" t="s">
        <v>27</v>
      </c>
      <c r="AX25" s="12"/>
      <c r="AY25" s="33" t="s">
        <v>27</v>
      </c>
      <c r="AZ25" s="12"/>
      <c r="BA25" s="33" t="s">
        <v>27</v>
      </c>
      <c r="BB25" s="12"/>
      <c r="BC25" s="33" t="s">
        <v>27</v>
      </c>
      <c r="BD25" s="12"/>
      <c r="BE25" s="33" t="s">
        <v>27</v>
      </c>
      <c r="BF25" s="12"/>
      <c r="BG25" s="33" t="s">
        <v>27</v>
      </c>
      <c r="BH25" s="12"/>
      <c r="BI25" s="33" t="s">
        <v>27</v>
      </c>
      <c r="BJ25" s="50"/>
      <c r="BK25" s="33" t="s">
        <v>27</v>
      </c>
      <c r="BL25" s="50"/>
      <c r="BM25" s="33" t="s">
        <v>27</v>
      </c>
      <c r="BN25" s="50"/>
      <c r="BO25" s="33" t="s">
        <v>27</v>
      </c>
      <c r="BP25" s="50"/>
    </row>
    <row r="26" spans="4:68" ht="12.75">
      <c r="D26" s="17" t="s">
        <v>14</v>
      </c>
      <c r="E26" s="11">
        <v>13080</v>
      </c>
      <c r="F26" s="12"/>
      <c r="G26" s="11">
        <v>13900</v>
      </c>
      <c r="H26" s="12"/>
      <c r="I26" s="11">
        <v>13551</v>
      </c>
      <c r="J26" s="12"/>
      <c r="K26" s="11">
        <v>14797</v>
      </c>
      <c r="L26" s="12"/>
      <c r="M26" s="11">
        <v>20652</v>
      </c>
      <c r="N26" s="12"/>
      <c r="O26" s="11">
        <v>28397</v>
      </c>
      <c r="P26" s="12"/>
      <c r="Q26" s="11">
        <v>32515</v>
      </c>
      <c r="R26" s="12"/>
      <c r="S26" s="11">
        <v>33553</v>
      </c>
      <c r="T26" s="12"/>
      <c r="U26" s="11">
        <v>58246</v>
      </c>
      <c r="V26" s="10"/>
      <c r="W26" s="11">
        <v>57029</v>
      </c>
      <c r="X26" s="12"/>
      <c r="Y26" s="11">
        <v>49569</v>
      </c>
      <c r="Z26" s="12"/>
      <c r="AA26" s="11">
        <v>51092</v>
      </c>
      <c r="AB26" s="12"/>
      <c r="AC26" s="11">
        <v>45713</v>
      </c>
      <c r="AD26" s="12"/>
      <c r="AE26" s="11">
        <v>31606</v>
      </c>
      <c r="AF26" s="12"/>
      <c r="AG26" s="11">
        <v>31300</v>
      </c>
      <c r="AH26" s="12"/>
      <c r="AI26" s="11">
        <v>36300</v>
      </c>
      <c r="AJ26" s="12"/>
      <c r="AK26" s="11">
        <v>40936</v>
      </c>
      <c r="AL26" s="12"/>
      <c r="AM26" s="11">
        <v>26100</v>
      </c>
      <c r="AN26" s="12"/>
      <c r="AO26" s="11">
        <f>26100000/1000</f>
        <v>26100</v>
      </c>
      <c r="AP26" s="12"/>
      <c r="AQ26" s="11">
        <f>30930350/1000</f>
        <v>30930.35</v>
      </c>
      <c r="AR26" s="12" t="s">
        <v>77</v>
      </c>
      <c r="AS26" s="11">
        <v>34694</v>
      </c>
      <c r="AT26" s="12" t="s">
        <v>78</v>
      </c>
      <c r="AU26" s="11">
        <v>44144</v>
      </c>
      <c r="AV26" s="10"/>
      <c r="AW26" s="11">
        <f>44144000/1000</f>
        <v>44144</v>
      </c>
      <c r="AX26" s="12"/>
      <c r="AY26" s="11">
        <f>13012560/1000</f>
        <v>13012.56</v>
      </c>
      <c r="AZ26" s="12"/>
      <c r="BA26" s="11">
        <f>13013000/1000</f>
        <v>13013</v>
      </c>
      <c r="BB26" s="12"/>
      <c r="BC26" s="11">
        <f>12517432/1000</f>
        <v>12517.432</v>
      </c>
      <c r="BD26" s="12"/>
      <c r="BE26" s="49" t="s">
        <v>27</v>
      </c>
      <c r="BF26" s="12"/>
      <c r="BG26" s="16" t="s">
        <v>27</v>
      </c>
      <c r="BH26" s="12" t="s">
        <v>76</v>
      </c>
      <c r="BI26" s="16" t="s">
        <v>27</v>
      </c>
      <c r="BJ26" s="50"/>
      <c r="BK26" s="16" t="s">
        <v>27</v>
      </c>
      <c r="BL26" s="50"/>
      <c r="BM26" s="16" t="s">
        <v>27</v>
      </c>
      <c r="BN26" s="50"/>
      <c r="BO26" s="16" t="s">
        <v>27</v>
      </c>
      <c r="BP26" s="50"/>
    </row>
    <row r="27" spans="4:68" ht="12.75">
      <c r="D27" s="17" t="s">
        <v>15</v>
      </c>
      <c r="E27" s="11">
        <v>5300</v>
      </c>
      <c r="F27" s="12"/>
      <c r="G27" s="11">
        <f>7400+200</f>
        <v>7600</v>
      </c>
      <c r="H27" s="12"/>
      <c r="I27" s="11">
        <v>10921</v>
      </c>
      <c r="J27" s="12"/>
      <c r="K27" s="11">
        <v>7736</v>
      </c>
      <c r="L27" s="12"/>
      <c r="M27" s="11">
        <v>7681</v>
      </c>
      <c r="N27" s="12"/>
      <c r="O27" s="11">
        <v>8252</v>
      </c>
      <c r="P27" s="12"/>
      <c r="Q27" s="11">
        <v>8526</v>
      </c>
      <c r="R27" s="12"/>
      <c r="S27" s="11">
        <v>9775</v>
      </c>
      <c r="T27" s="12"/>
      <c r="U27" s="11">
        <v>9374</v>
      </c>
      <c r="V27" s="10"/>
      <c r="W27" s="11">
        <v>9684</v>
      </c>
      <c r="X27" s="12"/>
      <c r="Y27" s="11">
        <v>9945</v>
      </c>
      <c r="Z27" s="12"/>
      <c r="AA27" s="11">
        <v>10204</v>
      </c>
      <c r="AB27" s="12"/>
      <c r="AC27" s="11">
        <v>9129</v>
      </c>
      <c r="AD27" s="12"/>
      <c r="AE27" s="11">
        <v>7549</v>
      </c>
      <c r="AF27" s="12"/>
      <c r="AG27" s="11">
        <v>7855</v>
      </c>
      <c r="AH27" s="12"/>
      <c r="AI27" s="11">
        <v>0</v>
      </c>
      <c r="AJ27" s="12"/>
      <c r="AK27" s="11">
        <v>0</v>
      </c>
      <c r="AL27" s="12"/>
      <c r="AM27" s="11">
        <v>0</v>
      </c>
      <c r="AN27" s="12"/>
      <c r="AO27" s="11">
        <v>0</v>
      </c>
      <c r="AP27" s="12"/>
      <c r="AQ27" s="11">
        <v>0</v>
      </c>
      <c r="AR27" s="12"/>
      <c r="AS27" s="11">
        <v>0</v>
      </c>
      <c r="AT27" s="12"/>
      <c r="AU27" s="11"/>
      <c r="AV27" s="10"/>
      <c r="AW27" s="16" t="s">
        <v>27</v>
      </c>
      <c r="AX27" s="12"/>
      <c r="AY27" s="16" t="s">
        <v>27</v>
      </c>
      <c r="AZ27" s="12"/>
      <c r="BA27" s="16" t="s">
        <v>27</v>
      </c>
      <c r="BB27" s="12"/>
      <c r="BC27" s="16" t="s">
        <v>27</v>
      </c>
      <c r="BD27" s="12"/>
      <c r="BE27" s="16" t="s">
        <v>27</v>
      </c>
      <c r="BF27" s="12"/>
      <c r="BG27" s="33" t="s">
        <v>27</v>
      </c>
      <c r="BH27" s="12"/>
      <c r="BI27" s="33" t="s">
        <v>27</v>
      </c>
      <c r="BJ27" s="50"/>
      <c r="BK27" s="33" t="s">
        <v>27</v>
      </c>
      <c r="BL27" s="50"/>
      <c r="BM27" s="33" t="s">
        <v>27</v>
      </c>
      <c r="BN27" s="50"/>
      <c r="BO27" s="33" t="s">
        <v>27</v>
      </c>
      <c r="BP27" s="50"/>
    </row>
    <row r="28" spans="4:68" ht="12.75">
      <c r="D28" s="17" t="s">
        <v>83</v>
      </c>
      <c r="E28" s="33" t="s">
        <v>27</v>
      </c>
      <c r="F28" s="12"/>
      <c r="G28" s="11">
        <v>3767</v>
      </c>
      <c r="H28" s="12"/>
      <c r="I28" s="11">
        <v>0</v>
      </c>
      <c r="J28" s="12"/>
      <c r="K28" s="11">
        <v>0</v>
      </c>
      <c r="L28" s="12"/>
      <c r="M28" s="11">
        <v>0</v>
      </c>
      <c r="N28" s="12"/>
      <c r="O28" s="11">
        <v>0</v>
      </c>
      <c r="P28" s="12"/>
      <c r="Q28" s="11">
        <v>2958</v>
      </c>
      <c r="R28" s="12"/>
      <c r="S28" s="11">
        <v>1952</v>
      </c>
      <c r="T28" s="12"/>
      <c r="U28" s="11">
        <v>2080</v>
      </c>
      <c r="V28" s="10"/>
      <c r="W28" s="11">
        <v>2043</v>
      </c>
      <c r="X28" s="12"/>
      <c r="Y28" s="11">
        <v>2098</v>
      </c>
      <c r="Z28" s="12"/>
      <c r="AA28" s="11">
        <v>4832</v>
      </c>
      <c r="AB28" s="12"/>
      <c r="AC28" s="11">
        <v>4091</v>
      </c>
      <c r="AD28" s="12"/>
      <c r="AE28" s="11">
        <v>3580</v>
      </c>
      <c r="AF28" s="12"/>
      <c r="AG28" s="11">
        <v>3580</v>
      </c>
      <c r="AH28" s="12"/>
      <c r="AI28" s="11">
        <v>3580</v>
      </c>
      <c r="AJ28" s="12"/>
      <c r="AK28" s="11">
        <v>3580</v>
      </c>
      <c r="AL28" s="12"/>
      <c r="AM28" s="11">
        <v>3580</v>
      </c>
      <c r="AN28" s="12"/>
      <c r="AO28" s="11">
        <f>3580000/1000</f>
        <v>3580</v>
      </c>
      <c r="AP28" s="12"/>
      <c r="AQ28" s="11">
        <f>3556730/1000</f>
        <v>3556.73</v>
      </c>
      <c r="AR28" s="12"/>
      <c r="AS28" s="11">
        <f>3536014/1000</f>
        <v>3536.014</v>
      </c>
      <c r="AT28" s="12"/>
      <c r="AU28" s="11">
        <v>2976</v>
      </c>
      <c r="AV28" s="10"/>
      <c r="AW28" s="11">
        <f>2976000/1000</f>
        <v>2976</v>
      </c>
      <c r="AX28" s="12"/>
      <c r="AY28" s="11">
        <f>2738340/1000</f>
        <v>2738.34</v>
      </c>
      <c r="AZ28" s="12"/>
      <c r="BA28" s="11">
        <f>2738000/1000</f>
        <v>2738</v>
      </c>
      <c r="BB28" s="12"/>
      <c r="BC28" s="11">
        <f>2257963/1000</f>
        <v>2257.963</v>
      </c>
      <c r="BD28" s="12" t="s">
        <v>77</v>
      </c>
      <c r="BE28" s="16" t="s">
        <v>27</v>
      </c>
      <c r="BF28" s="12"/>
      <c r="BG28" s="11">
        <f>2349000/1000</f>
        <v>2349</v>
      </c>
      <c r="BH28" s="12"/>
      <c r="BI28" s="50">
        <f>2474000/1000</f>
        <v>2474</v>
      </c>
      <c r="BJ28" s="50"/>
      <c r="BK28" s="50">
        <f>2469052/1000</f>
        <v>2469.052</v>
      </c>
      <c r="BL28" s="50"/>
      <c r="BM28" s="50">
        <f>2427404/1000</f>
        <v>2427.404</v>
      </c>
      <c r="BN28" s="50"/>
      <c r="BO28" s="50">
        <f>1333560/1000</f>
        <v>1333.56</v>
      </c>
      <c r="BP28" s="50"/>
    </row>
    <row r="29" spans="4:68" ht="12.75">
      <c r="D29" s="17" t="s">
        <v>16</v>
      </c>
      <c r="E29" s="33" t="s">
        <v>27</v>
      </c>
      <c r="F29" s="12"/>
      <c r="G29" s="33" t="s">
        <v>27</v>
      </c>
      <c r="H29" s="12"/>
      <c r="I29" s="33" t="s">
        <v>27</v>
      </c>
      <c r="J29" s="12"/>
      <c r="K29" s="33" t="s">
        <v>27</v>
      </c>
      <c r="L29" s="12"/>
      <c r="M29" s="33" t="s">
        <v>27</v>
      </c>
      <c r="N29" s="12"/>
      <c r="O29" s="33" t="s">
        <v>27</v>
      </c>
      <c r="P29" s="12"/>
      <c r="Q29" s="11">
        <v>12500</v>
      </c>
      <c r="R29" s="12"/>
      <c r="S29" s="11">
        <f>12199+2440</f>
        <v>14639</v>
      </c>
      <c r="T29" s="12" t="s">
        <v>76</v>
      </c>
      <c r="U29" s="11">
        <v>12438</v>
      </c>
      <c r="V29" s="10"/>
      <c r="W29" s="11">
        <v>0</v>
      </c>
      <c r="X29" s="12"/>
      <c r="Y29" s="11">
        <v>9000</v>
      </c>
      <c r="Z29" s="12"/>
      <c r="AA29" s="33" t="s">
        <v>27</v>
      </c>
      <c r="AB29" s="12"/>
      <c r="AC29" s="33" t="s">
        <v>27</v>
      </c>
      <c r="AD29" s="12"/>
      <c r="AE29" s="33" t="s">
        <v>27</v>
      </c>
      <c r="AF29" s="12"/>
      <c r="AG29" s="33" t="s">
        <v>27</v>
      </c>
      <c r="AH29" s="12"/>
      <c r="AI29" s="33" t="s">
        <v>27</v>
      </c>
      <c r="AJ29" s="12"/>
      <c r="AK29" s="33" t="s">
        <v>27</v>
      </c>
      <c r="AL29" s="12"/>
      <c r="AM29" s="33" t="s">
        <v>27</v>
      </c>
      <c r="AN29" s="12"/>
      <c r="AO29" s="33" t="s">
        <v>27</v>
      </c>
      <c r="AP29" s="12"/>
      <c r="AQ29" s="33" t="s">
        <v>27</v>
      </c>
      <c r="AR29" s="12"/>
      <c r="AS29" s="33" t="s">
        <v>27</v>
      </c>
      <c r="AT29" s="12"/>
      <c r="AU29" s="11"/>
      <c r="AV29" s="10"/>
      <c r="AW29" s="33" t="s">
        <v>27</v>
      </c>
      <c r="AX29" s="12"/>
      <c r="AY29" s="33" t="s">
        <v>27</v>
      </c>
      <c r="AZ29" s="12"/>
      <c r="BA29" s="33" t="s">
        <v>27</v>
      </c>
      <c r="BB29" s="12"/>
      <c r="BC29" s="33" t="s">
        <v>27</v>
      </c>
      <c r="BD29" s="12"/>
      <c r="BE29" s="33" t="s">
        <v>27</v>
      </c>
      <c r="BF29" s="12"/>
      <c r="BG29" s="33" t="s">
        <v>27</v>
      </c>
      <c r="BH29" s="12"/>
      <c r="BI29" s="33" t="s">
        <v>27</v>
      </c>
      <c r="BJ29" s="50"/>
      <c r="BK29" s="33" t="s">
        <v>27</v>
      </c>
      <c r="BL29" s="50"/>
      <c r="BM29" s="33" t="s">
        <v>27</v>
      </c>
      <c r="BN29" s="50"/>
      <c r="BO29" s="33" t="s">
        <v>27</v>
      </c>
      <c r="BP29" s="50"/>
    </row>
    <row r="30" spans="3:68" ht="12.75">
      <c r="C30" s="1"/>
      <c r="D30" s="17" t="s">
        <v>17</v>
      </c>
      <c r="E30" s="33" t="s">
        <v>27</v>
      </c>
      <c r="F30" s="12"/>
      <c r="G30" s="33" t="s">
        <v>27</v>
      </c>
      <c r="H30" s="12"/>
      <c r="I30" s="33" t="s">
        <v>27</v>
      </c>
      <c r="J30" s="12"/>
      <c r="K30" s="33" t="s">
        <v>27</v>
      </c>
      <c r="L30" s="12"/>
      <c r="M30" s="33" t="s">
        <v>27</v>
      </c>
      <c r="N30" s="12"/>
      <c r="O30" s="33" t="s">
        <v>27</v>
      </c>
      <c r="P30" s="12"/>
      <c r="Q30" s="33" t="s">
        <v>27</v>
      </c>
      <c r="R30" s="12"/>
      <c r="S30" s="33" t="s">
        <v>27</v>
      </c>
      <c r="T30" s="12"/>
      <c r="U30" s="33" t="s">
        <v>27</v>
      </c>
      <c r="V30" s="12"/>
      <c r="W30" s="33" t="s">
        <v>27</v>
      </c>
      <c r="X30" s="12"/>
      <c r="Y30" s="33" t="s">
        <v>27</v>
      </c>
      <c r="Z30" s="12"/>
      <c r="AA30" s="33" t="s">
        <v>27</v>
      </c>
      <c r="AB30" s="12"/>
      <c r="AC30" s="33" t="s">
        <v>27</v>
      </c>
      <c r="AD30" s="12"/>
      <c r="AE30" s="11">
        <v>20000</v>
      </c>
      <c r="AF30" s="12"/>
      <c r="AG30" s="11">
        <v>20000</v>
      </c>
      <c r="AH30" s="12"/>
      <c r="AI30" s="11">
        <v>20000</v>
      </c>
      <c r="AJ30" s="12"/>
      <c r="AK30" s="11">
        <v>21854</v>
      </c>
      <c r="AL30" s="12"/>
      <c r="AM30" s="11">
        <v>20000</v>
      </c>
      <c r="AN30" s="12"/>
      <c r="AO30" s="11">
        <f>21000000/1000</f>
        <v>21000</v>
      </c>
      <c r="AP30" s="12"/>
      <c r="AQ30" s="11">
        <f>20863500/1000</f>
        <v>20863.5</v>
      </c>
      <c r="AR30" s="12"/>
      <c r="AS30" s="11">
        <v>20741</v>
      </c>
      <c r="AT30" s="12"/>
      <c r="AU30" s="11">
        <v>17856</v>
      </c>
      <c r="AV30" s="10"/>
      <c r="AW30" s="11">
        <f>17856000/1000</f>
        <v>17856</v>
      </c>
      <c r="AX30" s="12"/>
      <c r="AY30" s="11">
        <f>17677440/1000</f>
        <v>17677.44</v>
      </c>
      <c r="AZ30" s="12"/>
      <c r="BA30" s="11">
        <f>17677000/1000</f>
        <v>17677</v>
      </c>
      <c r="BB30" s="12"/>
      <c r="BC30" s="11">
        <f>17368183/1000</f>
        <v>17368.183</v>
      </c>
      <c r="BD30" s="12"/>
      <c r="BE30" s="16" t="s">
        <v>27</v>
      </c>
      <c r="BF30" s="12"/>
      <c r="BG30" s="11">
        <f>18520000/1000</f>
        <v>18520</v>
      </c>
      <c r="BH30" s="12"/>
      <c r="BI30" s="50">
        <f>18520000/1000</f>
        <v>18520</v>
      </c>
      <c r="BJ30" s="50"/>
      <c r="BK30" s="50">
        <f>18482960/1000</f>
        <v>18482.96</v>
      </c>
      <c r="BL30" s="50"/>
      <c r="BM30" s="50">
        <f>18484997/1000</f>
        <v>18484.997</v>
      </c>
      <c r="BN30" s="50"/>
      <c r="BO30" s="50">
        <f>18484997/1000</f>
        <v>18484.997</v>
      </c>
      <c r="BP30" s="50"/>
    </row>
    <row r="31" spans="3:68" ht="12.75">
      <c r="C31" s="8" t="s">
        <v>18</v>
      </c>
      <c r="D31" s="10"/>
      <c r="E31" s="11">
        <v>22627</v>
      </c>
      <c r="F31" s="12"/>
      <c r="G31" s="33" t="s">
        <v>27</v>
      </c>
      <c r="H31" s="12"/>
      <c r="I31" s="33" t="s">
        <v>27</v>
      </c>
      <c r="J31" s="12"/>
      <c r="K31" s="33" t="s">
        <v>27</v>
      </c>
      <c r="L31" s="12"/>
      <c r="M31" s="33" t="s">
        <v>27</v>
      </c>
      <c r="N31" s="12"/>
      <c r="O31" s="33" t="s">
        <v>27</v>
      </c>
      <c r="P31" s="12"/>
      <c r="Q31" s="33" t="s">
        <v>27</v>
      </c>
      <c r="R31" s="12"/>
      <c r="S31" s="33" t="s">
        <v>27</v>
      </c>
      <c r="T31" s="12"/>
      <c r="U31" s="33" t="s">
        <v>27</v>
      </c>
      <c r="V31" s="12"/>
      <c r="W31" s="33" t="s">
        <v>27</v>
      </c>
      <c r="X31" s="12"/>
      <c r="Y31" s="33" t="s">
        <v>27</v>
      </c>
      <c r="Z31" s="12"/>
      <c r="AA31" s="33" t="s">
        <v>27</v>
      </c>
      <c r="AB31" s="12"/>
      <c r="AC31" s="33" t="s">
        <v>27</v>
      </c>
      <c r="AD31" s="12"/>
      <c r="AE31" s="33" t="s">
        <v>27</v>
      </c>
      <c r="AF31" s="12"/>
      <c r="AG31" s="33" t="s">
        <v>27</v>
      </c>
      <c r="AH31" s="12"/>
      <c r="AI31" s="33" t="s">
        <v>27</v>
      </c>
      <c r="AJ31" s="12"/>
      <c r="AK31" s="33" t="s">
        <v>27</v>
      </c>
      <c r="AL31" s="12"/>
      <c r="AM31" s="33" t="s">
        <v>27</v>
      </c>
      <c r="AN31" s="12"/>
      <c r="AO31" s="33" t="s">
        <v>27</v>
      </c>
      <c r="AP31" s="12"/>
      <c r="AQ31" s="33" t="s">
        <v>27</v>
      </c>
      <c r="AR31" s="12"/>
      <c r="AS31" s="33" t="s">
        <v>27</v>
      </c>
      <c r="AT31" s="12"/>
      <c r="AU31" s="11"/>
      <c r="AV31" s="10"/>
      <c r="AW31" s="33" t="s">
        <v>27</v>
      </c>
      <c r="AX31" s="12"/>
      <c r="AY31" s="33" t="s">
        <v>27</v>
      </c>
      <c r="AZ31" s="12"/>
      <c r="BA31" s="33" t="s">
        <v>27</v>
      </c>
      <c r="BB31" s="12"/>
      <c r="BC31" s="33" t="s">
        <v>27</v>
      </c>
      <c r="BD31" s="12"/>
      <c r="BE31" s="33" t="s">
        <v>27</v>
      </c>
      <c r="BF31" s="12"/>
      <c r="BG31" s="33" t="s">
        <v>27</v>
      </c>
      <c r="BH31" s="12"/>
      <c r="BI31" s="33" t="s">
        <v>27</v>
      </c>
      <c r="BJ31" s="50"/>
      <c r="BK31" s="33" t="s">
        <v>27</v>
      </c>
      <c r="BL31" s="50"/>
      <c r="BM31" s="33" t="s">
        <v>27</v>
      </c>
      <c r="BN31" s="50"/>
      <c r="BO31" s="33" t="s">
        <v>27</v>
      </c>
      <c r="BP31" s="50"/>
    </row>
    <row r="32" spans="3:68" ht="12.75">
      <c r="C32" s="10" t="s">
        <v>19</v>
      </c>
      <c r="D32" s="10"/>
      <c r="E32" s="11">
        <v>29700</v>
      </c>
      <c r="F32" s="12"/>
      <c r="G32" s="33" t="s">
        <v>27</v>
      </c>
      <c r="H32" s="12"/>
      <c r="I32" s="33" t="s">
        <v>27</v>
      </c>
      <c r="J32" s="12"/>
      <c r="K32" s="33" t="s">
        <v>27</v>
      </c>
      <c r="L32" s="12"/>
      <c r="M32" s="33" t="s">
        <v>27</v>
      </c>
      <c r="N32" s="12"/>
      <c r="O32" s="33" t="s">
        <v>27</v>
      </c>
      <c r="P32" s="12"/>
      <c r="Q32" s="33" t="s">
        <v>27</v>
      </c>
      <c r="R32" s="12"/>
      <c r="S32" s="33" t="s">
        <v>27</v>
      </c>
      <c r="T32" s="12"/>
      <c r="U32" s="33" t="s">
        <v>27</v>
      </c>
      <c r="V32" s="12"/>
      <c r="W32" s="33" t="s">
        <v>27</v>
      </c>
      <c r="X32" s="12"/>
      <c r="Y32" s="33" t="s">
        <v>27</v>
      </c>
      <c r="Z32" s="12"/>
      <c r="AA32" s="33" t="s">
        <v>27</v>
      </c>
      <c r="AB32" s="12"/>
      <c r="AC32" s="33" t="s">
        <v>27</v>
      </c>
      <c r="AD32" s="12"/>
      <c r="AE32" s="33" t="s">
        <v>27</v>
      </c>
      <c r="AF32" s="12"/>
      <c r="AG32" s="33" t="s">
        <v>27</v>
      </c>
      <c r="AH32" s="12"/>
      <c r="AI32" s="33" t="s">
        <v>27</v>
      </c>
      <c r="AJ32" s="12"/>
      <c r="AK32" s="33" t="s">
        <v>27</v>
      </c>
      <c r="AL32" s="12"/>
      <c r="AM32" s="33" t="s">
        <v>27</v>
      </c>
      <c r="AN32" s="12"/>
      <c r="AO32" s="33" t="s">
        <v>27</v>
      </c>
      <c r="AP32" s="12"/>
      <c r="AQ32" s="33" t="s">
        <v>27</v>
      </c>
      <c r="AR32" s="12"/>
      <c r="AS32" s="33" t="s">
        <v>27</v>
      </c>
      <c r="AT32" s="12"/>
      <c r="AU32" s="11"/>
      <c r="AV32" s="10"/>
      <c r="AW32" s="33" t="s">
        <v>27</v>
      </c>
      <c r="AX32" s="12"/>
      <c r="AY32" s="33" t="s">
        <v>27</v>
      </c>
      <c r="AZ32" s="12"/>
      <c r="BA32" s="33" t="s">
        <v>27</v>
      </c>
      <c r="BB32" s="12"/>
      <c r="BC32" s="33" t="s">
        <v>27</v>
      </c>
      <c r="BD32" s="12"/>
      <c r="BE32" s="33" t="s">
        <v>27</v>
      </c>
      <c r="BF32" s="12"/>
      <c r="BG32" s="33" t="s">
        <v>27</v>
      </c>
      <c r="BH32" s="12"/>
      <c r="BI32" s="33" t="s">
        <v>27</v>
      </c>
      <c r="BJ32" s="50"/>
      <c r="BK32" s="33" t="s">
        <v>27</v>
      </c>
      <c r="BL32" s="50"/>
      <c r="BM32" s="33" t="s">
        <v>27</v>
      </c>
      <c r="BN32" s="50"/>
      <c r="BO32" s="33" t="s">
        <v>27</v>
      </c>
      <c r="BP32" s="50"/>
    </row>
    <row r="33" spans="2:68" ht="12.75">
      <c r="B33" s="2" t="s">
        <v>102</v>
      </c>
      <c r="C33" s="10"/>
      <c r="D33" s="10"/>
      <c r="E33" s="11"/>
      <c r="F33" s="12"/>
      <c r="G33" s="33"/>
      <c r="H33" s="12"/>
      <c r="I33" s="33"/>
      <c r="J33" s="12"/>
      <c r="K33" s="33"/>
      <c r="L33" s="12"/>
      <c r="M33" s="33"/>
      <c r="N33" s="12"/>
      <c r="O33" s="33"/>
      <c r="P33" s="12"/>
      <c r="Q33" s="33"/>
      <c r="R33" s="12"/>
      <c r="S33" s="33"/>
      <c r="T33" s="12"/>
      <c r="U33" s="33"/>
      <c r="V33" s="12"/>
      <c r="W33" s="33"/>
      <c r="X33" s="12"/>
      <c r="Y33" s="33"/>
      <c r="Z33" s="12"/>
      <c r="AA33" s="33"/>
      <c r="AB33" s="12"/>
      <c r="AC33" s="33"/>
      <c r="AD33" s="12"/>
      <c r="AE33" s="33"/>
      <c r="AF33" s="12"/>
      <c r="AG33" s="33"/>
      <c r="AH33" s="12"/>
      <c r="AI33" s="33"/>
      <c r="AJ33" s="12"/>
      <c r="AK33" s="33"/>
      <c r="AL33" s="12"/>
      <c r="AM33" s="33"/>
      <c r="AN33" s="12"/>
      <c r="AO33" s="33"/>
      <c r="AP33" s="12"/>
      <c r="AQ33" s="33"/>
      <c r="AR33" s="12"/>
      <c r="AS33" s="33"/>
      <c r="AT33" s="12"/>
      <c r="AU33" s="11"/>
      <c r="AV33" s="10"/>
      <c r="AW33" s="33"/>
      <c r="AX33" s="12"/>
      <c r="AY33" s="33"/>
      <c r="AZ33" s="12"/>
      <c r="BA33" s="33"/>
      <c r="BB33" s="12"/>
      <c r="BC33" s="33"/>
      <c r="BD33" s="12"/>
      <c r="BF33" s="12"/>
      <c r="BG33" s="2">
        <f>SUM(BG34:BG36)</f>
        <v>67950</v>
      </c>
      <c r="BH33" s="12"/>
      <c r="BI33" s="2">
        <f>SUM(BI34:BI35)</f>
        <v>68436</v>
      </c>
      <c r="BJ33" s="50"/>
      <c r="BK33" s="2">
        <f>SUM(BK34:BK35)</f>
        <v>65516.704</v>
      </c>
      <c r="BL33" s="50"/>
      <c r="BM33" s="2">
        <f>SUM(BM34:BM35)</f>
        <v>65393.172999999995</v>
      </c>
      <c r="BN33" s="50"/>
      <c r="BO33" s="2">
        <f>SUM(BO34:BO35)</f>
        <v>61972.718</v>
      </c>
      <c r="BP33" s="50"/>
    </row>
    <row r="34" spans="3:68" ht="12.75">
      <c r="C34" s="1"/>
      <c r="D34" s="10" t="s">
        <v>103</v>
      </c>
      <c r="E34" s="11"/>
      <c r="F34" s="12"/>
      <c r="G34" s="33"/>
      <c r="H34" s="12"/>
      <c r="I34" s="33"/>
      <c r="J34" s="12"/>
      <c r="K34" s="33"/>
      <c r="L34" s="12"/>
      <c r="M34" s="33"/>
      <c r="N34" s="12"/>
      <c r="O34" s="33"/>
      <c r="P34" s="12"/>
      <c r="Q34" s="33"/>
      <c r="R34" s="12"/>
      <c r="S34" s="33"/>
      <c r="T34" s="12"/>
      <c r="U34" s="33"/>
      <c r="V34" s="12"/>
      <c r="W34" s="33"/>
      <c r="X34" s="12"/>
      <c r="Y34" s="33"/>
      <c r="Z34" s="12"/>
      <c r="AA34" s="33"/>
      <c r="AB34" s="12"/>
      <c r="AC34" s="33"/>
      <c r="AD34" s="12"/>
      <c r="AE34" s="33"/>
      <c r="AF34" s="12"/>
      <c r="AG34" s="33"/>
      <c r="AH34" s="12"/>
      <c r="AI34" s="33"/>
      <c r="AJ34" s="12"/>
      <c r="AK34" s="33"/>
      <c r="AL34" s="12"/>
      <c r="AM34" s="33"/>
      <c r="AN34" s="12"/>
      <c r="AO34" s="33"/>
      <c r="AP34" s="12"/>
      <c r="AQ34" s="33"/>
      <c r="AR34" s="12"/>
      <c r="AS34" s="33"/>
      <c r="AT34" s="12"/>
      <c r="AU34" s="11"/>
      <c r="AV34" s="10"/>
      <c r="AW34" s="33"/>
      <c r="AX34" s="12"/>
      <c r="AY34" s="33"/>
      <c r="AZ34" s="12"/>
      <c r="BA34" s="33"/>
      <c r="BB34" s="12"/>
      <c r="BC34" s="33"/>
      <c r="BD34" s="12"/>
      <c r="BE34" s="11"/>
      <c r="BF34" s="12"/>
      <c r="BG34" s="11">
        <f>52821000/1000</f>
        <v>52821</v>
      </c>
      <c r="BH34" s="12" t="s">
        <v>77</v>
      </c>
      <c r="BI34" s="50">
        <f>53307000/1000</f>
        <v>53307</v>
      </c>
      <c r="BJ34" s="50"/>
      <c r="BK34" s="50">
        <f>50417962/1000</f>
        <v>50417.962</v>
      </c>
      <c r="BL34" s="50"/>
      <c r="BM34" s="50">
        <f>50322710/1000</f>
        <v>50322.71</v>
      </c>
      <c r="BN34" s="50"/>
      <c r="BO34" s="50">
        <f>47690531/1000</f>
        <v>47690.531</v>
      </c>
      <c r="BP34" s="50"/>
    </row>
    <row r="35" spans="3:68" ht="12.75">
      <c r="C35" s="1"/>
      <c r="D35" s="10" t="s">
        <v>104</v>
      </c>
      <c r="E35" s="11"/>
      <c r="F35" s="12"/>
      <c r="G35" s="33"/>
      <c r="H35" s="12"/>
      <c r="I35" s="33"/>
      <c r="J35" s="12"/>
      <c r="K35" s="33"/>
      <c r="L35" s="12"/>
      <c r="M35" s="33"/>
      <c r="N35" s="12"/>
      <c r="O35" s="33"/>
      <c r="P35" s="12"/>
      <c r="Q35" s="33"/>
      <c r="R35" s="12"/>
      <c r="S35" s="33"/>
      <c r="T35" s="12"/>
      <c r="U35" s="33"/>
      <c r="V35" s="12"/>
      <c r="W35" s="33"/>
      <c r="X35" s="12"/>
      <c r="Y35" s="33"/>
      <c r="Z35" s="12"/>
      <c r="AA35" s="33"/>
      <c r="AB35" s="12"/>
      <c r="AC35" s="33"/>
      <c r="AD35" s="12"/>
      <c r="AE35" s="33"/>
      <c r="AF35" s="12"/>
      <c r="AG35" s="33"/>
      <c r="AH35" s="12"/>
      <c r="AI35" s="33"/>
      <c r="AJ35" s="12"/>
      <c r="AK35" s="33"/>
      <c r="AL35" s="12"/>
      <c r="AM35" s="33"/>
      <c r="AN35" s="12"/>
      <c r="AO35" s="33"/>
      <c r="AP35" s="12"/>
      <c r="AQ35" s="33"/>
      <c r="AR35" s="12"/>
      <c r="AS35" s="33"/>
      <c r="AT35" s="12"/>
      <c r="AU35" s="11"/>
      <c r="AV35" s="10"/>
      <c r="AW35" s="33"/>
      <c r="AX35" s="12"/>
      <c r="AY35" s="33"/>
      <c r="AZ35" s="12"/>
      <c r="BA35" s="33"/>
      <c r="BB35" s="12"/>
      <c r="BC35" s="33"/>
      <c r="BD35" s="12"/>
      <c r="BE35" s="11"/>
      <c r="BF35" s="12"/>
      <c r="BG35" s="11">
        <f>15129000/1000</f>
        <v>15129</v>
      </c>
      <c r="BH35" s="12" t="s">
        <v>76</v>
      </c>
      <c r="BI35" s="50">
        <f>15129000/1000</f>
        <v>15129</v>
      </c>
      <c r="BJ35" s="50"/>
      <c r="BK35" s="50">
        <f>15098742/1000</f>
        <v>15098.742</v>
      </c>
      <c r="BL35" s="50"/>
      <c r="BM35" s="50">
        <f>15070463/1000</f>
        <v>15070.463</v>
      </c>
      <c r="BN35" s="50"/>
      <c r="BO35" s="50">
        <f>14282187/1000</f>
        <v>14282.187</v>
      </c>
      <c r="BP35" s="50"/>
    </row>
    <row r="36" spans="2:68" ht="12.75">
      <c r="B36" s="10" t="s">
        <v>113</v>
      </c>
      <c r="C36" s="1"/>
      <c r="E36" s="11"/>
      <c r="F36" s="12"/>
      <c r="G36" s="33"/>
      <c r="H36" s="12"/>
      <c r="I36" s="33"/>
      <c r="J36" s="12"/>
      <c r="K36" s="33"/>
      <c r="L36" s="12"/>
      <c r="M36" s="33"/>
      <c r="N36" s="12"/>
      <c r="O36" s="33"/>
      <c r="P36" s="12"/>
      <c r="Q36" s="33"/>
      <c r="R36" s="12"/>
      <c r="S36" s="33"/>
      <c r="T36" s="12"/>
      <c r="U36" s="33"/>
      <c r="V36" s="12"/>
      <c r="W36" s="33"/>
      <c r="X36" s="12"/>
      <c r="Y36" s="33"/>
      <c r="Z36" s="12"/>
      <c r="AA36" s="33"/>
      <c r="AB36" s="12"/>
      <c r="AC36" s="33"/>
      <c r="AD36" s="12"/>
      <c r="AE36" s="33"/>
      <c r="AF36" s="12"/>
      <c r="AG36" s="33"/>
      <c r="AH36" s="12"/>
      <c r="AI36" s="33"/>
      <c r="AJ36" s="12"/>
      <c r="AK36" s="33"/>
      <c r="AL36" s="12"/>
      <c r="AM36" s="33"/>
      <c r="AN36" s="12"/>
      <c r="AO36" s="33"/>
      <c r="AP36" s="12"/>
      <c r="AQ36" s="33"/>
      <c r="AR36" s="12"/>
      <c r="AS36" s="33"/>
      <c r="AT36" s="12"/>
      <c r="AU36" s="11"/>
      <c r="AV36" s="10"/>
      <c r="AW36" s="33"/>
      <c r="AX36" s="12"/>
      <c r="AY36" s="33"/>
      <c r="AZ36" s="12"/>
      <c r="BA36" s="33"/>
      <c r="BB36" s="12"/>
      <c r="BC36" s="33"/>
      <c r="BD36" s="12"/>
      <c r="BE36" s="11"/>
      <c r="BF36" s="12"/>
      <c r="BG36" s="11"/>
      <c r="BH36" s="12"/>
      <c r="BI36" s="50">
        <f>11402636/1000</f>
        <v>11402.636</v>
      </c>
      <c r="BJ36" s="50" t="s">
        <v>76</v>
      </c>
      <c r="BK36" s="50">
        <f>12195048/1000</f>
        <v>12195.048</v>
      </c>
      <c r="BL36" s="50" t="s">
        <v>77</v>
      </c>
      <c r="BM36" s="50">
        <f>16123276/1000</f>
        <v>16123.276</v>
      </c>
      <c r="BN36" s="50" t="s">
        <v>78</v>
      </c>
      <c r="BO36" s="50">
        <f>15117593/1000</f>
        <v>15117.593</v>
      </c>
      <c r="BP36" s="50" t="s">
        <v>78</v>
      </c>
    </row>
    <row r="37" spans="2:68" ht="12.75">
      <c r="B37" s="8" t="s">
        <v>20</v>
      </c>
      <c r="C37" s="10"/>
      <c r="D37" s="10"/>
      <c r="E37" s="11">
        <f>E38+E39</f>
        <v>108800</v>
      </c>
      <c r="F37" s="12"/>
      <c r="G37" s="33" t="s">
        <v>27</v>
      </c>
      <c r="H37" s="12"/>
      <c r="I37" s="33" t="s">
        <v>27</v>
      </c>
      <c r="J37" s="12"/>
      <c r="K37" s="33" t="s">
        <v>27</v>
      </c>
      <c r="L37" s="12"/>
      <c r="M37" s="33" t="s">
        <v>27</v>
      </c>
      <c r="N37" s="12"/>
      <c r="O37" s="33" t="s">
        <v>27</v>
      </c>
      <c r="P37" s="12"/>
      <c r="Q37" s="33" t="s">
        <v>27</v>
      </c>
      <c r="R37" s="12"/>
      <c r="S37" s="33" t="s">
        <v>27</v>
      </c>
      <c r="T37" s="12"/>
      <c r="U37" s="33" t="s">
        <v>27</v>
      </c>
      <c r="V37" s="12"/>
      <c r="W37" s="33" t="s">
        <v>27</v>
      </c>
      <c r="X37" s="12"/>
      <c r="Y37" s="33" t="s">
        <v>27</v>
      </c>
      <c r="Z37" s="12"/>
      <c r="AA37" s="33" t="s">
        <v>27</v>
      </c>
      <c r="AB37" s="12"/>
      <c r="AC37" s="33" t="s">
        <v>27</v>
      </c>
      <c r="AD37" s="12"/>
      <c r="AE37" s="33" t="s">
        <v>27</v>
      </c>
      <c r="AF37" s="12"/>
      <c r="AG37" s="33" t="s">
        <v>27</v>
      </c>
      <c r="AH37" s="12"/>
      <c r="AI37" s="33" t="s">
        <v>27</v>
      </c>
      <c r="AJ37" s="12"/>
      <c r="AK37" s="33" t="s">
        <v>27</v>
      </c>
      <c r="AL37" s="12"/>
      <c r="AM37" s="33" t="s">
        <v>27</v>
      </c>
      <c r="AN37" s="12"/>
      <c r="AO37" s="33" t="s">
        <v>27</v>
      </c>
      <c r="AP37" s="12"/>
      <c r="AQ37" s="33" t="s">
        <v>27</v>
      </c>
      <c r="AR37" s="12"/>
      <c r="AS37" s="33" t="s">
        <v>27</v>
      </c>
      <c r="AT37" s="12"/>
      <c r="AU37" s="11">
        <f>AU38+AU39</f>
        <v>0</v>
      </c>
      <c r="AV37" s="10"/>
      <c r="AW37" s="33" t="s">
        <v>27</v>
      </c>
      <c r="AX37" s="12"/>
      <c r="AY37" s="33" t="s">
        <v>27</v>
      </c>
      <c r="AZ37" s="12"/>
      <c r="BA37" s="33" t="s">
        <v>27</v>
      </c>
      <c r="BB37" s="12"/>
      <c r="BC37" s="33" t="s">
        <v>27</v>
      </c>
      <c r="BD37" s="12"/>
      <c r="BE37" s="33" t="s">
        <v>27</v>
      </c>
      <c r="BF37" s="12"/>
      <c r="BG37" s="33" t="s">
        <v>27</v>
      </c>
      <c r="BH37" s="12"/>
      <c r="BI37" s="33" t="s">
        <v>27</v>
      </c>
      <c r="BJ37" s="50"/>
      <c r="BK37" s="33" t="s">
        <v>27</v>
      </c>
      <c r="BL37" s="50"/>
      <c r="BM37" s="33" t="s">
        <v>27</v>
      </c>
      <c r="BN37" s="50"/>
      <c r="BO37" s="33" t="s">
        <v>27</v>
      </c>
      <c r="BP37" s="50"/>
    </row>
    <row r="38" spans="3:68" ht="12.75">
      <c r="C38" s="10" t="s">
        <v>21</v>
      </c>
      <c r="D38" s="10"/>
      <c r="E38" s="11">
        <v>59500</v>
      </c>
      <c r="F38" s="12"/>
      <c r="G38" s="33" t="s">
        <v>27</v>
      </c>
      <c r="H38" s="12"/>
      <c r="I38" s="33" t="s">
        <v>27</v>
      </c>
      <c r="J38" s="12"/>
      <c r="K38" s="33" t="s">
        <v>27</v>
      </c>
      <c r="L38" s="12"/>
      <c r="M38" s="33" t="s">
        <v>27</v>
      </c>
      <c r="N38" s="12"/>
      <c r="O38" s="33" t="s">
        <v>27</v>
      </c>
      <c r="P38" s="12"/>
      <c r="Q38" s="33" t="s">
        <v>27</v>
      </c>
      <c r="R38" s="12"/>
      <c r="S38" s="33" t="s">
        <v>27</v>
      </c>
      <c r="T38" s="12"/>
      <c r="U38" s="33" t="s">
        <v>27</v>
      </c>
      <c r="V38" s="12"/>
      <c r="W38" s="33" t="s">
        <v>27</v>
      </c>
      <c r="X38" s="12"/>
      <c r="Y38" s="33" t="s">
        <v>27</v>
      </c>
      <c r="Z38" s="12"/>
      <c r="AA38" s="33" t="s">
        <v>27</v>
      </c>
      <c r="AB38" s="12"/>
      <c r="AC38" s="33" t="s">
        <v>27</v>
      </c>
      <c r="AD38" s="12"/>
      <c r="AE38" s="33" t="s">
        <v>27</v>
      </c>
      <c r="AF38" s="12"/>
      <c r="AG38" s="33" t="s">
        <v>27</v>
      </c>
      <c r="AH38" s="12"/>
      <c r="AI38" s="33" t="s">
        <v>27</v>
      </c>
      <c r="AJ38" s="12"/>
      <c r="AK38" s="33" t="s">
        <v>27</v>
      </c>
      <c r="AL38" s="12"/>
      <c r="AM38" s="33" t="s">
        <v>27</v>
      </c>
      <c r="AN38" s="12"/>
      <c r="AO38" s="33" t="s">
        <v>27</v>
      </c>
      <c r="AP38" s="12"/>
      <c r="AQ38" s="33" t="s">
        <v>27</v>
      </c>
      <c r="AR38" s="12"/>
      <c r="AS38" s="33" t="s">
        <v>27</v>
      </c>
      <c r="AT38" s="12"/>
      <c r="AU38" s="11"/>
      <c r="AV38" s="10"/>
      <c r="AW38" s="33" t="s">
        <v>27</v>
      </c>
      <c r="AX38" s="12"/>
      <c r="AY38" s="33" t="s">
        <v>27</v>
      </c>
      <c r="AZ38" s="12"/>
      <c r="BA38" s="33" t="s">
        <v>27</v>
      </c>
      <c r="BB38" s="12"/>
      <c r="BC38" s="33" t="s">
        <v>27</v>
      </c>
      <c r="BD38" s="12"/>
      <c r="BE38" s="33" t="s">
        <v>27</v>
      </c>
      <c r="BF38" s="12"/>
      <c r="BG38" s="33" t="s">
        <v>27</v>
      </c>
      <c r="BH38" s="12"/>
      <c r="BI38" s="33" t="s">
        <v>27</v>
      </c>
      <c r="BJ38" s="50"/>
      <c r="BK38" s="33" t="s">
        <v>27</v>
      </c>
      <c r="BL38" s="50"/>
      <c r="BM38" s="33" t="s">
        <v>27</v>
      </c>
      <c r="BN38" s="50"/>
      <c r="BO38" s="33" t="s">
        <v>27</v>
      </c>
      <c r="BP38" s="50"/>
    </row>
    <row r="39" spans="3:68" ht="12.75">
      <c r="C39" s="10" t="s">
        <v>22</v>
      </c>
      <c r="D39" s="10"/>
      <c r="E39" s="11">
        <v>49300</v>
      </c>
      <c r="F39" s="12"/>
      <c r="G39" s="33" t="s">
        <v>27</v>
      </c>
      <c r="H39" s="12"/>
      <c r="I39" s="33" t="s">
        <v>27</v>
      </c>
      <c r="J39" s="12"/>
      <c r="K39" s="33" t="s">
        <v>27</v>
      </c>
      <c r="L39" s="12"/>
      <c r="M39" s="33" t="s">
        <v>27</v>
      </c>
      <c r="N39" s="12"/>
      <c r="O39" s="33" t="s">
        <v>27</v>
      </c>
      <c r="P39" s="12"/>
      <c r="Q39" s="33" t="s">
        <v>27</v>
      </c>
      <c r="R39" s="12"/>
      <c r="S39" s="33" t="s">
        <v>27</v>
      </c>
      <c r="T39" s="12"/>
      <c r="U39" s="33" t="s">
        <v>27</v>
      </c>
      <c r="V39" s="12"/>
      <c r="W39" s="33" t="s">
        <v>27</v>
      </c>
      <c r="X39" s="12"/>
      <c r="Y39" s="33" t="s">
        <v>27</v>
      </c>
      <c r="Z39" s="12"/>
      <c r="AA39" s="33" t="s">
        <v>27</v>
      </c>
      <c r="AB39" s="12"/>
      <c r="AC39" s="33" t="s">
        <v>27</v>
      </c>
      <c r="AD39" s="12"/>
      <c r="AE39" s="33" t="s">
        <v>27</v>
      </c>
      <c r="AF39" s="12"/>
      <c r="AG39" s="33" t="s">
        <v>27</v>
      </c>
      <c r="AH39" s="12"/>
      <c r="AI39" s="33" t="s">
        <v>27</v>
      </c>
      <c r="AJ39" s="12"/>
      <c r="AK39" s="33" t="s">
        <v>27</v>
      </c>
      <c r="AL39" s="12"/>
      <c r="AM39" s="33" t="s">
        <v>27</v>
      </c>
      <c r="AN39" s="12"/>
      <c r="AO39" s="33" t="s">
        <v>27</v>
      </c>
      <c r="AP39" s="12"/>
      <c r="AQ39" s="33" t="s">
        <v>27</v>
      </c>
      <c r="AR39" s="12"/>
      <c r="AS39" s="33" t="s">
        <v>27</v>
      </c>
      <c r="AT39" s="12"/>
      <c r="AU39" s="11"/>
      <c r="AV39" s="10"/>
      <c r="AW39" s="33" t="s">
        <v>27</v>
      </c>
      <c r="AX39" s="12"/>
      <c r="AY39" s="33" t="s">
        <v>27</v>
      </c>
      <c r="AZ39" s="12"/>
      <c r="BA39" s="33" t="s">
        <v>27</v>
      </c>
      <c r="BB39" s="12"/>
      <c r="BC39" s="33" t="s">
        <v>27</v>
      </c>
      <c r="BD39" s="12"/>
      <c r="BE39" s="33" t="s">
        <v>27</v>
      </c>
      <c r="BF39" s="12"/>
      <c r="BG39" s="33" t="s">
        <v>27</v>
      </c>
      <c r="BH39" s="12"/>
      <c r="BI39" s="33" t="s">
        <v>27</v>
      </c>
      <c r="BJ39" s="50"/>
      <c r="BK39" s="33" t="s">
        <v>27</v>
      </c>
      <c r="BL39" s="50"/>
      <c r="BM39" s="33" t="s">
        <v>27</v>
      </c>
      <c r="BN39" s="50"/>
      <c r="BO39" s="33" t="s">
        <v>27</v>
      </c>
      <c r="BP39" s="50"/>
    </row>
    <row r="40" spans="1:68" ht="18" customHeight="1">
      <c r="A40" s="20" t="s">
        <v>23</v>
      </c>
      <c r="B40" s="20"/>
      <c r="C40" s="10"/>
      <c r="D40" s="10"/>
      <c r="E40" s="10"/>
      <c r="F40" s="12"/>
      <c r="G40" s="10"/>
      <c r="H40" s="12"/>
      <c r="I40" s="10"/>
      <c r="J40" s="12"/>
      <c r="K40" s="10"/>
      <c r="L40" s="12"/>
      <c r="M40" s="10"/>
      <c r="N40" s="12"/>
      <c r="O40" s="10"/>
      <c r="P40" s="12"/>
      <c r="Q40" s="10"/>
      <c r="R40" s="12"/>
      <c r="S40" s="10"/>
      <c r="T40" s="12"/>
      <c r="U40" s="10"/>
      <c r="V40" s="10"/>
      <c r="W40" s="10"/>
      <c r="X40" s="12"/>
      <c r="Y40" s="10"/>
      <c r="Z40" s="12"/>
      <c r="AA40" s="10"/>
      <c r="AB40" s="12"/>
      <c r="AC40" s="10"/>
      <c r="AD40" s="12"/>
      <c r="AE40" s="10"/>
      <c r="AF40" s="12"/>
      <c r="AG40" s="10"/>
      <c r="AH40" s="12"/>
      <c r="AI40" s="10"/>
      <c r="AJ40" s="12"/>
      <c r="AK40" s="10"/>
      <c r="AL40" s="12"/>
      <c r="AM40" s="10"/>
      <c r="AN40" s="12"/>
      <c r="AO40" s="10"/>
      <c r="AP40" s="12"/>
      <c r="AQ40" s="10"/>
      <c r="AR40" s="12"/>
      <c r="AS40" s="10"/>
      <c r="AT40" s="12"/>
      <c r="AU40" s="10"/>
      <c r="AV40" s="10"/>
      <c r="AW40" s="10"/>
      <c r="AX40" s="12"/>
      <c r="AY40" s="10"/>
      <c r="AZ40" s="12"/>
      <c r="BA40" s="11"/>
      <c r="BB40" s="12"/>
      <c r="BC40" s="11"/>
      <c r="BD40" s="12"/>
      <c r="BE40" s="11"/>
      <c r="BF40" s="12"/>
      <c r="BG40" s="11"/>
      <c r="BH40" s="12"/>
      <c r="BI40" s="50"/>
      <c r="BJ40" s="50"/>
      <c r="BK40" s="50"/>
      <c r="BL40" s="50"/>
      <c r="BM40" s="50"/>
      <c r="BN40" s="50"/>
      <c r="BO40" s="50"/>
      <c r="BP40" s="50"/>
    </row>
    <row r="41" spans="1:68" ht="12.75">
      <c r="A41" s="34" t="s">
        <v>24</v>
      </c>
      <c r="B41" s="10"/>
      <c r="C41" s="10"/>
      <c r="D41" s="10"/>
      <c r="E41" s="38">
        <f>SUM(E42:E45)</f>
        <v>12000</v>
      </c>
      <c r="F41" s="39"/>
      <c r="G41" s="38">
        <f>SUM(G42:G45)</f>
        <v>101000</v>
      </c>
      <c r="H41" s="39"/>
      <c r="I41" s="38">
        <f>SUM(I42:I45)</f>
        <v>34882</v>
      </c>
      <c r="J41" s="39"/>
      <c r="K41" s="38">
        <f>SUM(K42:K45)</f>
        <v>167900</v>
      </c>
      <c r="L41" s="39"/>
      <c r="M41" s="38">
        <f>SUM(M42:M45)</f>
        <v>191388</v>
      </c>
      <c r="N41" s="39"/>
      <c r="O41" s="38">
        <f>SUM(O42:O45)</f>
        <v>224648</v>
      </c>
      <c r="P41" s="39"/>
      <c r="Q41" s="38">
        <f>SUM(Q42:Q45)</f>
        <v>280024</v>
      </c>
      <c r="R41" s="39"/>
      <c r="S41" s="38">
        <f>SUM(S42:S45)</f>
        <v>269500</v>
      </c>
      <c r="T41" s="39"/>
      <c r="U41" s="38">
        <f>SUM(U42:U45)</f>
        <v>226250</v>
      </c>
      <c r="V41" s="21"/>
      <c r="W41" s="38">
        <f>SUM(W42:W45)</f>
        <v>211250</v>
      </c>
      <c r="X41" s="39"/>
      <c r="Y41" s="38">
        <f>SUM(Y42:Y45)</f>
        <v>220400</v>
      </c>
      <c r="Z41" s="39"/>
      <c r="AA41" s="38">
        <f>SUM(AA42:AA45)</f>
        <v>274400</v>
      </c>
      <c r="AB41" s="39"/>
      <c r="AC41" s="38">
        <f>SUM(AC42:AC45)</f>
        <v>346100</v>
      </c>
      <c r="AD41" s="39"/>
      <c r="AE41" s="38">
        <f>SUM(AE42:AE45)</f>
        <v>324500</v>
      </c>
      <c r="AF41" s="39"/>
      <c r="AG41" s="38">
        <f>SUM(AG42:AG45)</f>
        <v>349000</v>
      </c>
      <c r="AH41" s="12" t="s">
        <v>78</v>
      </c>
      <c r="AI41" s="38">
        <f>SUM(AI42:AI45)</f>
        <v>383450</v>
      </c>
      <c r="AJ41" s="13" t="s">
        <v>78</v>
      </c>
      <c r="AK41" s="38">
        <f>SUM(AK42:AK45)</f>
        <v>415150</v>
      </c>
      <c r="AL41" s="39"/>
      <c r="AM41" s="38">
        <f>SUM(AM42:AM45)</f>
        <v>406550</v>
      </c>
      <c r="AN41" s="39"/>
      <c r="AO41" s="38">
        <f>SUM(AO42:AO45)</f>
        <v>415650</v>
      </c>
      <c r="AP41" s="12" t="s">
        <v>78</v>
      </c>
      <c r="AQ41" s="38">
        <f>SUM(AQ42:AQ45)</f>
        <v>625250</v>
      </c>
      <c r="AR41" s="39"/>
      <c r="AS41" s="38">
        <f>SUM(AS42:AS46)</f>
        <v>1338200</v>
      </c>
      <c r="AT41" s="12"/>
      <c r="AU41" s="11">
        <f>SUM(AU42:AU45)</f>
        <v>1057300</v>
      </c>
      <c r="AV41" s="10"/>
      <c r="AW41" s="38">
        <f>SUM(AW42:AW46)</f>
        <v>1057300</v>
      </c>
      <c r="AX41" s="12"/>
      <c r="AY41" s="38">
        <f>SUM(AY42:AY46)</f>
        <v>966400</v>
      </c>
      <c r="AZ41" s="12"/>
      <c r="BA41" s="38">
        <f>SUM(BA42:BA46)</f>
        <v>837600</v>
      </c>
      <c r="BB41" s="12"/>
      <c r="BC41" s="38">
        <f>SUM(BC42:BC46)</f>
        <v>888700</v>
      </c>
      <c r="BD41" s="12"/>
      <c r="BE41" s="38">
        <f>SUM(BE42:BE46)</f>
        <v>0</v>
      </c>
      <c r="BF41" s="12"/>
      <c r="BG41" s="38">
        <f>SUM(BG42:BG46)</f>
        <v>958800</v>
      </c>
      <c r="BH41" s="12"/>
      <c r="BI41" s="38">
        <f>SUM(BI42:BI46)</f>
        <v>1818400</v>
      </c>
      <c r="BJ41" s="50"/>
      <c r="BK41" s="38">
        <f>SUM(BK42:BK46)</f>
        <v>721311.966</v>
      </c>
      <c r="BL41" s="50"/>
      <c r="BM41" s="38">
        <f>SUM(BM42:BM46)</f>
        <v>1100100</v>
      </c>
      <c r="BN41" s="50"/>
      <c r="BO41" s="38">
        <f>SUM(BO42:BO46)</f>
        <v>756353</v>
      </c>
      <c r="BP41" s="50"/>
    </row>
    <row r="42" spans="2:68" ht="12.75">
      <c r="B42" s="10" t="s">
        <v>25</v>
      </c>
      <c r="C42" s="10"/>
      <c r="D42" s="10"/>
      <c r="E42" s="11">
        <v>12000</v>
      </c>
      <c r="F42" s="12"/>
      <c r="G42" s="11">
        <v>75000</v>
      </c>
      <c r="H42" s="12"/>
      <c r="I42" s="11">
        <v>10000</v>
      </c>
      <c r="J42" s="12"/>
      <c r="K42" s="11">
        <v>118000</v>
      </c>
      <c r="L42" s="12"/>
      <c r="M42" s="11">
        <v>141000</v>
      </c>
      <c r="N42" s="12"/>
      <c r="O42" s="11">
        <v>190000</v>
      </c>
      <c r="P42" s="12"/>
      <c r="Q42" s="11">
        <v>201144</v>
      </c>
      <c r="R42" s="12"/>
      <c r="S42" s="11">
        <v>198500</v>
      </c>
      <c r="T42" s="12"/>
      <c r="U42" s="11">
        <v>154250</v>
      </c>
      <c r="V42" s="10"/>
      <c r="W42" s="11">
        <v>131250</v>
      </c>
      <c r="X42" s="12"/>
      <c r="Y42" s="11">
        <v>126900</v>
      </c>
      <c r="Z42" s="12"/>
      <c r="AA42" s="11">
        <v>151000</v>
      </c>
      <c r="AB42" s="12"/>
      <c r="AC42" s="11">
        <v>195000</v>
      </c>
      <c r="AD42" s="12"/>
      <c r="AE42" s="11">
        <v>191000</v>
      </c>
      <c r="AF42" s="12"/>
      <c r="AG42" s="11">
        <v>208000</v>
      </c>
      <c r="AH42" s="12"/>
      <c r="AI42" s="11">
        <v>226000</v>
      </c>
      <c r="AJ42" s="12"/>
      <c r="AK42" s="11">
        <v>255000</v>
      </c>
      <c r="AL42" s="12"/>
      <c r="AM42" s="11">
        <v>248000</v>
      </c>
      <c r="AN42" s="12"/>
      <c r="AO42" s="11">
        <f>255000000/1000</f>
        <v>255000</v>
      </c>
      <c r="AP42" s="12"/>
      <c r="AQ42" s="11">
        <f>315000000/1000</f>
        <v>315000</v>
      </c>
      <c r="AR42" s="12"/>
      <c r="AS42" s="11">
        <f>1062000000/1000</f>
        <v>1062000</v>
      </c>
      <c r="AT42" s="12"/>
      <c r="AU42" s="11">
        <v>1057300</v>
      </c>
      <c r="AV42" s="10"/>
      <c r="AW42" s="11">
        <f>750000000/1000</f>
        <v>750000</v>
      </c>
      <c r="AX42" s="12"/>
      <c r="AY42" s="11">
        <f>655000000/1000</f>
        <v>655000</v>
      </c>
      <c r="AZ42" s="12"/>
      <c r="BA42" s="11">
        <f>558000000/1000</f>
        <v>558000</v>
      </c>
      <c r="BB42" s="12"/>
      <c r="BC42" s="11">
        <f>606000000/1000</f>
        <v>606000</v>
      </c>
      <c r="BD42" s="12"/>
      <c r="BE42" s="11">
        <v>0</v>
      </c>
      <c r="BF42" s="12"/>
      <c r="BG42" s="11">
        <f>238000000/1000</f>
        <v>238000</v>
      </c>
      <c r="BH42" s="12"/>
      <c r="BI42" s="50">
        <f>1067000000/1000</f>
        <v>1067000</v>
      </c>
      <c r="BJ42" s="50"/>
      <c r="BK42" s="50">
        <f>250000000/1000</f>
        <v>250000</v>
      </c>
      <c r="BL42" s="50"/>
      <c r="BM42" s="50">
        <f>482100000/1000</f>
        <v>482100</v>
      </c>
      <c r="BN42" s="50"/>
      <c r="BO42" s="50">
        <f>189000000/1000</f>
        <v>189000</v>
      </c>
      <c r="BP42" s="50"/>
    </row>
    <row r="43" spans="2:68" ht="12.75">
      <c r="B43" s="10" t="s">
        <v>26</v>
      </c>
      <c r="C43" s="10"/>
      <c r="D43" s="10"/>
      <c r="E43" s="16" t="s">
        <v>27</v>
      </c>
      <c r="F43" s="12"/>
      <c r="G43" s="11">
        <v>26000</v>
      </c>
      <c r="H43" s="13" t="s">
        <v>76</v>
      </c>
      <c r="I43" s="11">
        <v>24882</v>
      </c>
      <c r="J43" s="13" t="s">
        <v>76</v>
      </c>
      <c r="K43" s="11">
        <v>49900</v>
      </c>
      <c r="L43" s="13" t="s">
        <v>76</v>
      </c>
      <c r="M43" s="11">
        <v>50388</v>
      </c>
      <c r="N43" s="13" t="s">
        <v>76</v>
      </c>
      <c r="O43" s="11">
        <v>34648</v>
      </c>
      <c r="P43" s="13" t="s">
        <v>76</v>
      </c>
      <c r="Q43" s="11">
        <v>78880</v>
      </c>
      <c r="R43" s="12"/>
      <c r="S43" s="11">
        <v>71000</v>
      </c>
      <c r="T43" s="12"/>
      <c r="U43" s="11">
        <v>72000</v>
      </c>
      <c r="V43" s="10"/>
      <c r="W43" s="11">
        <v>80000</v>
      </c>
      <c r="X43" s="12"/>
      <c r="Y43" s="11">
        <v>80000</v>
      </c>
      <c r="Z43" s="12"/>
      <c r="AA43" s="11">
        <v>80000</v>
      </c>
      <c r="AB43" s="12"/>
      <c r="AC43" s="11">
        <v>96600</v>
      </c>
      <c r="AD43" s="12"/>
      <c r="AE43" s="11">
        <v>85100</v>
      </c>
      <c r="AF43" s="12"/>
      <c r="AG43" s="11">
        <v>96700</v>
      </c>
      <c r="AH43" s="12"/>
      <c r="AI43" s="11">
        <v>94300</v>
      </c>
      <c r="AJ43" s="12"/>
      <c r="AK43" s="11">
        <v>94000</v>
      </c>
      <c r="AL43" s="12"/>
      <c r="AM43" s="11">
        <v>94400</v>
      </c>
      <c r="AN43" s="12"/>
      <c r="AO43" s="11">
        <f>94500000/1000</f>
        <v>94500</v>
      </c>
      <c r="AP43" s="12"/>
      <c r="AQ43" s="11">
        <f>222100000/1000</f>
        <v>222100</v>
      </c>
      <c r="AR43" s="12"/>
      <c r="AS43" s="11">
        <f>258200000/1000</f>
        <v>258200</v>
      </c>
      <c r="AT43" s="12"/>
      <c r="AU43" s="11">
        <v>0</v>
      </c>
      <c r="AV43" s="10"/>
      <c r="AW43" s="11">
        <f>259300000/1000</f>
        <v>259300</v>
      </c>
      <c r="AX43" s="12"/>
      <c r="AY43" s="11">
        <f>259400000/1000</f>
        <v>259400</v>
      </c>
      <c r="AZ43" s="12"/>
      <c r="BA43" s="11">
        <f>259600000/1000</f>
        <v>259600</v>
      </c>
      <c r="BB43" s="12"/>
      <c r="BC43" s="11">
        <f>259700000/1000</f>
        <v>259700</v>
      </c>
      <c r="BD43" s="12"/>
      <c r="BE43" s="11">
        <v>0</v>
      </c>
      <c r="BF43" s="12"/>
      <c r="BG43" s="11">
        <f>686200000/1000</f>
        <v>686200</v>
      </c>
      <c r="BH43" s="12"/>
      <c r="BI43" s="50">
        <f>686400000/1000</f>
        <v>686400</v>
      </c>
      <c r="BJ43" s="50"/>
      <c r="BK43" s="50">
        <f>426311966/1000</f>
        <v>426311.966</v>
      </c>
      <c r="BL43" s="50"/>
      <c r="BM43" s="50">
        <f>575000000/1000</f>
        <v>575000</v>
      </c>
      <c r="BN43" s="50"/>
      <c r="BO43" s="50">
        <f>534353000/1000</f>
        <v>534353</v>
      </c>
      <c r="BP43" s="50"/>
    </row>
    <row r="44" spans="2:68" ht="12.75">
      <c r="B44" s="10" t="s">
        <v>28</v>
      </c>
      <c r="C44" s="10"/>
      <c r="D44" s="10"/>
      <c r="E44" s="33" t="s">
        <v>27</v>
      </c>
      <c r="F44" s="12"/>
      <c r="G44" s="33" t="s">
        <v>27</v>
      </c>
      <c r="H44" s="12"/>
      <c r="I44" s="33" t="s">
        <v>27</v>
      </c>
      <c r="J44" s="12"/>
      <c r="K44" s="33" t="s">
        <v>27</v>
      </c>
      <c r="L44" s="12"/>
      <c r="M44" s="33" t="s">
        <v>27</v>
      </c>
      <c r="N44" s="12"/>
      <c r="O44" s="33" t="s">
        <v>27</v>
      </c>
      <c r="P44" s="12"/>
      <c r="Q44" s="33" t="s">
        <v>27</v>
      </c>
      <c r="R44" s="12"/>
      <c r="S44" s="11">
        <v>0</v>
      </c>
      <c r="T44" s="12"/>
      <c r="U44" s="11">
        <v>0</v>
      </c>
      <c r="V44" s="10"/>
      <c r="W44" s="11">
        <v>0</v>
      </c>
      <c r="X44" s="12"/>
      <c r="Y44" s="11">
        <v>5000</v>
      </c>
      <c r="Z44" s="12"/>
      <c r="AA44" s="11">
        <v>22000</v>
      </c>
      <c r="AB44" s="12"/>
      <c r="AC44" s="11">
        <v>28000</v>
      </c>
      <c r="AD44" s="12"/>
      <c r="AE44" s="11">
        <v>20000</v>
      </c>
      <c r="AF44" s="12"/>
      <c r="AG44" s="11">
        <v>22000</v>
      </c>
      <c r="AH44" s="12"/>
      <c r="AI44" s="11">
        <v>26000</v>
      </c>
      <c r="AJ44" s="12"/>
      <c r="AK44" s="11">
        <v>29000</v>
      </c>
      <c r="AL44" s="12"/>
      <c r="AM44" s="11">
        <v>27000</v>
      </c>
      <c r="AN44" s="12"/>
      <c r="AO44" s="11">
        <f>29000000/1000</f>
        <v>29000</v>
      </c>
      <c r="AP44" s="12"/>
      <c r="AQ44" s="11">
        <f>51000000/1000</f>
        <v>51000</v>
      </c>
      <c r="AR44" s="12"/>
      <c r="AS44" s="11">
        <f>7000000/1000</f>
        <v>7000</v>
      </c>
      <c r="AT44" s="12"/>
      <c r="AU44" s="11">
        <v>0</v>
      </c>
      <c r="AV44" s="10"/>
      <c r="AW44" s="11">
        <v>0</v>
      </c>
      <c r="AX44" s="12"/>
      <c r="AY44" s="11">
        <v>0</v>
      </c>
      <c r="AZ44" s="12"/>
      <c r="BA44" s="11">
        <v>0</v>
      </c>
      <c r="BB44" s="12"/>
      <c r="BC44" s="11">
        <v>0</v>
      </c>
      <c r="BD44" s="12"/>
      <c r="BE44" s="11">
        <v>0</v>
      </c>
      <c r="BF44" s="12"/>
      <c r="BG44" s="11">
        <v>0</v>
      </c>
      <c r="BH44" s="12"/>
      <c r="BI44" s="50">
        <v>0</v>
      </c>
      <c r="BJ44" s="50"/>
      <c r="BK44" s="50">
        <v>0</v>
      </c>
      <c r="BL44" s="50"/>
      <c r="BM44" s="50">
        <v>0</v>
      </c>
      <c r="BN44" s="50"/>
      <c r="BO44" s="50">
        <v>0</v>
      </c>
      <c r="BP44" s="50"/>
    </row>
    <row r="45" spans="2:68" ht="12.75">
      <c r="B45" s="10" t="s">
        <v>29</v>
      </c>
      <c r="C45" s="10"/>
      <c r="D45" s="10"/>
      <c r="E45" s="33" t="s">
        <v>27</v>
      </c>
      <c r="F45" s="12"/>
      <c r="G45" s="33" t="s">
        <v>27</v>
      </c>
      <c r="H45" s="12"/>
      <c r="I45" s="33" t="s">
        <v>27</v>
      </c>
      <c r="J45" s="12"/>
      <c r="K45" s="33" t="s">
        <v>27</v>
      </c>
      <c r="L45" s="12"/>
      <c r="M45" s="33" t="s">
        <v>27</v>
      </c>
      <c r="N45" s="12"/>
      <c r="O45" s="33" t="s">
        <v>27</v>
      </c>
      <c r="P45" s="12"/>
      <c r="Q45" s="33" t="s">
        <v>27</v>
      </c>
      <c r="R45" s="12"/>
      <c r="S45" s="11">
        <v>0</v>
      </c>
      <c r="T45" s="12"/>
      <c r="U45" s="11">
        <v>0</v>
      </c>
      <c r="V45" s="10"/>
      <c r="W45" s="11">
        <v>0</v>
      </c>
      <c r="X45" s="12"/>
      <c r="Y45" s="11">
        <v>8500</v>
      </c>
      <c r="Z45" s="12"/>
      <c r="AA45" s="11">
        <v>21400</v>
      </c>
      <c r="AB45" s="12"/>
      <c r="AC45" s="11">
        <v>26500</v>
      </c>
      <c r="AD45" s="12"/>
      <c r="AE45" s="11">
        <v>28400</v>
      </c>
      <c r="AF45" s="12"/>
      <c r="AG45" s="11">
        <v>22300</v>
      </c>
      <c r="AH45" s="12"/>
      <c r="AI45" s="11">
        <v>37150</v>
      </c>
      <c r="AJ45" s="12"/>
      <c r="AK45" s="11">
        <v>37150</v>
      </c>
      <c r="AL45" s="12"/>
      <c r="AM45" s="11">
        <v>37150</v>
      </c>
      <c r="AN45" s="12"/>
      <c r="AO45" s="11">
        <f>37150000/1000</f>
        <v>37150</v>
      </c>
      <c r="AP45" s="12"/>
      <c r="AQ45" s="11">
        <f>37150000/1000</f>
        <v>37150</v>
      </c>
      <c r="AR45" s="12"/>
      <c r="AS45" s="11">
        <f>1000000/1000</f>
        <v>1000</v>
      </c>
      <c r="AT45" s="12"/>
      <c r="AU45" s="11">
        <v>0</v>
      </c>
      <c r="AV45" s="10"/>
      <c r="AW45" s="11">
        <v>0</v>
      </c>
      <c r="AX45" s="12"/>
      <c r="AY45" s="11">
        <v>0</v>
      </c>
      <c r="AZ45" s="12"/>
      <c r="BA45" s="11">
        <v>0</v>
      </c>
      <c r="BB45" s="12"/>
      <c r="BC45" s="11">
        <v>0</v>
      </c>
      <c r="BD45" s="12"/>
      <c r="BE45" s="11">
        <v>0</v>
      </c>
      <c r="BF45" s="12"/>
      <c r="BG45" s="11">
        <v>0</v>
      </c>
      <c r="BH45" s="12"/>
      <c r="BI45" s="50">
        <v>0</v>
      </c>
      <c r="BJ45" s="50"/>
      <c r="BK45" s="50">
        <v>0</v>
      </c>
      <c r="BL45" s="50"/>
      <c r="BM45" s="50">
        <v>0</v>
      </c>
      <c r="BN45" s="50"/>
      <c r="BO45" s="50">
        <v>0</v>
      </c>
      <c r="BP45" s="50"/>
    </row>
    <row r="46" spans="1:68" ht="12.75">
      <c r="A46" s="1"/>
      <c r="B46" s="10" t="s">
        <v>75</v>
      </c>
      <c r="C46" s="10"/>
      <c r="D46" s="10"/>
      <c r="E46" s="10"/>
      <c r="F46" s="12"/>
      <c r="G46" s="10"/>
      <c r="H46" s="12"/>
      <c r="I46" s="10"/>
      <c r="J46" s="12"/>
      <c r="K46" s="10"/>
      <c r="L46" s="12"/>
      <c r="M46" s="10"/>
      <c r="N46" s="12"/>
      <c r="O46" s="10"/>
      <c r="P46" s="12"/>
      <c r="Q46" s="10"/>
      <c r="R46" s="12"/>
      <c r="S46" s="10"/>
      <c r="T46" s="12"/>
      <c r="U46" s="10"/>
      <c r="V46" s="10"/>
      <c r="W46" s="10"/>
      <c r="X46" s="12"/>
      <c r="Y46" s="10"/>
      <c r="Z46" s="12"/>
      <c r="AA46" s="10"/>
      <c r="AB46" s="12"/>
      <c r="AC46" s="10"/>
      <c r="AD46" s="12"/>
      <c r="AE46" s="10"/>
      <c r="AF46" s="12"/>
      <c r="AG46" s="10"/>
      <c r="AH46" s="12"/>
      <c r="AI46" s="10"/>
      <c r="AJ46" s="12"/>
      <c r="AK46" s="10"/>
      <c r="AL46" s="12"/>
      <c r="AM46" s="10"/>
      <c r="AN46" s="12"/>
      <c r="AO46" s="10"/>
      <c r="AP46" s="12"/>
      <c r="AQ46" s="10"/>
      <c r="AR46" s="12"/>
      <c r="AS46" s="10">
        <f>10000000/1000</f>
        <v>10000</v>
      </c>
      <c r="AT46" s="12"/>
      <c r="AU46" s="10">
        <v>0</v>
      </c>
      <c r="AV46" s="10"/>
      <c r="AW46" s="10">
        <f>48000000/1000</f>
        <v>48000</v>
      </c>
      <c r="AX46" s="12"/>
      <c r="AY46" s="10">
        <f>52000000/1000</f>
        <v>52000</v>
      </c>
      <c r="AZ46" s="12"/>
      <c r="BA46" s="11">
        <f>20000000/1000</f>
        <v>20000</v>
      </c>
      <c r="BB46" s="12"/>
      <c r="BC46" s="11">
        <f>23000000/1000</f>
        <v>23000</v>
      </c>
      <c r="BD46" s="12"/>
      <c r="BE46" s="11">
        <v>0</v>
      </c>
      <c r="BF46" s="12"/>
      <c r="BG46" s="11">
        <f>34600000/1000</f>
        <v>34600</v>
      </c>
      <c r="BH46" s="12"/>
      <c r="BI46" s="50">
        <f>65000000/1000</f>
        <v>65000</v>
      </c>
      <c r="BJ46" s="50"/>
      <c r="BK46" s="50">
        <f>45000000/1000</f>
        <v>45000</v>
      </c>
      <c r="BL46" s="50"/>
      <c r="BM46" s="50">
        <f>43000000/1000</f>
        <v>43000</v>
      </c>
      <c r="BN46" s="50"/>
      <c r="BO46" s="50">
        <f>33000000/1000</f>
        <v>33000</v>
      </c>
      <c r="BP46" s="50"/>
    </row>
    <row r="47" spans="1:68" ht="18" customHeight="1">
      <c r="A47" s="20" t="s">
        <v>110</v>
      </c>
      <c r="B47" s="21"/>
      <c r="C47" s="10"/>
      <c r="D47" s="10"/>
      <c r="E47" s="38"/>
      <c r="F47" s="39"/>
      <c r="G47" s="38"/>
      <c r="H47" s="39"/>
      <c r="I47" s="38"/>
      <c r="J47" s="39"/>
      <c r="K47" s="38"/>
      <c r="L47" s="13"/>
      <c r="M47" s="38"/>
      <c r="N47" s="39"/>
      <c r="O47" s="38"/>
      <c r="P47" s="39"/>
      <c r="Q47" s="38"/>
      <c r="R47" s="39"/>
      <c r="S47" s="38"/>
      <c r="T47" s="39"/>
      <c r="U47" s="38"/>
      <c r="V47" s="21"/>
      <c r="W47" s="38"/>
      <c r="X47" s="39"/>
      <c r="Y47" s="38"/>
      <c r="Z47" s="39"/>
      <c r="AA47" s="38"/>
      <c r="AB47" s="39"/>
      <c r="AC47" s="38"/>
      <c r="AD47" s="39"/>
      <c r="AE47" s="38"/>
      <c r="AF47" s="39"/>
      <c r="AG47" s="38"/>
      <c r="AH47" s="13"/>
      <c r="AI47" s="38"/>
      <c r="AJ47" s="13"/>
      <c r="AK47" s="38"/>
      <c r="AL47" s="13"/>
      <c r="AM47" s="38"/>
      <c r="AN47" s="12"/>
      <c r="AO47" s="38"/>
      <c r="AP47" s="12"/>
      <c r="AQ47" s="38"/>
      <c r="AR47" s="39"/>
      <c r="AS47" s="38"/>
      <c r="AT47" s="12"/>
      <c r="AU47" s="11"/>
      <c r="AV47" s="10"/>
      <c r="AW47" s="38"/>
      <c r="AX47" s="12"/>
      <c r="AY47" s="38"/>
      <c r="AZ47" s="12"/>
      <c r="BA47" s="38"/>
      <c r="BB47" s="12"/>
      <c r="BC47" s="38"/>
      <c r="BD47" s="12"/>
      <c r="BE47" s="38">
        <f>BE48</f>
        <v>18000</v>
      </c>
      <c r="BF47" s="12"/>
      <c r="BG47" s="38"/>
      <c r="BH47" s="12"/>
      <c r="BI47" s="50"/>
      <c r="BJ47" s="50"/>
      <c r="BK47" s="50"/>
      <c r="BL47" s="50"/>
      <c r="BM47" s="50"/>
      <c r="BN47" s="50"/>
      <c r="BO47" s="50"/>
      <c r="BP47" s="50"/>
    </row>
    <row r="48" spans="1:68" ht="12.75">
      <c r="A48" s="1"/>
      <c r="B48" s="10" t="s">
        <v>111</v>
      </c>
      <c r="C48" s="10"/>
      <c r="D48" s="10"/>
      <c r="E48" s="10"/>
      <c r="F48" s="12"/>
      <c r="G48" s="10"/>
      <c r="H48" s="12"/>
      <c r="I48" s="10"/>
      <c r="J48" s="12"/>
      <c r="K48" s="10"/>
      <c r="L48" s="12"/>
      <c r="M48" s="10"/>
      <c r="N48" s="12"/>
      <c r="O48" s="10"/>
      <c r="P48" s="12"/>
      <c r="Q48" s="10"/>
      <c r="R48" s="12"/>
      <c r="S48" s="10"/>
      <c r="T48" s="12"/>
      <c r="U48" s="10"/>
      <c r="V48" s="10"/>
      <c r="W48" s="10"/>
      <c r="X48" s="12"/>
      <c r="Y48" s="10"/>
      <c r="Z48" s="12"/>
      <c r="AA48" s="10"/>
      <c r="AB48" s="12"/>
      <c r="AC48" s="10"/>
      <c r="AD48" s="12"/>
      <c r="AE48" s="10"/>
      <c r="AF48" s="12"/>
      <c r="AG48" s="10"/>
      <c r="AH48" s="12"/>
      <c r="AI48" s="10"/>
      <c r="AJ48" s="12"/>
      <c r="AK48" s="10"/>
      <c r="AL48" s="12"/>
      <c r="AM48" s="10"/>
      <c r="AN48" s="12"/>
      <c r="AO48" s="10"/>
      <c r="AP48" s="12"/>
      <c r="AQ48" s="10"/>
      <c r="AR48" s="12"/>
      <c r="AS48" s="10"/>
      <c r="AT48" s="12"/>
      <c r="AU48" s="10"/>
      <c r="AV48" s="10"/>
      <c r="AW48" s="10"/>
      <c r="AX48" s="12"/>
      <c r="AY48" s="10"/>
      <c r="AZ48" s="12"/>
      <c r="BA48" s="11"/>
      <c r="BB48" s="12"/>
      <c r="BC48" s="11"/>
      <c r="BD48" s="12"/>
      <c r="BE48" s="11">
        <f>18000000/1000</f>
        <v>18000</v>
      </c>
      <c r="BF48" s="12"/>
      <c r="BG48" s="11"/>
      <c r="BH48" s="12"/>
      <c r="BI48" s="50"/>
      <c r="BJ48" s="50"/>
      <c r="BK48" s="50"/>
      <c r="BL48" s="50"/>
      <c r="BM48" s="50"/>
      <c r="BN48" s="50"/>
      <c r="BO48" s="50"/>
      <c r="BP48" s="50"/>
    </row>
    <row r="49" spans="1:68" ht="18" customHeight="1">
      <c r="A49" s="20" t="s">
        <v>30</v>
      </c>
      <c r="B49" s="21"/>
      <c r="C49" s="10"/>
      <c r="D49" s="10"/>
      <c r="E49" s="38">
        <v>7109000</v>
      </c>
      <c r="F49" s="39"/>
      <c r="G49" s="38">
        <v>0</v>
      </c>
      <c r="H49" s="39"/>
      <c r="I49" s="38">
        <v>464785</v>
      </c>
      <c r="J49" s="39"/>
      <c r="K49" s="38">
        <v>0</v>
      </c>
      <c r="L49" s="13" t="s">
        <v>77</v>
      </c>
      <c r="M49" s="38">
        <v>30000</v>
      </c>
      <c r="N49" s="39"/>
      <c r="O49" s="38">
        <v>124000</v>
      </c>
      <c r="P49" s="39"/>
      <c r="Q49" s="38">
        <v>33000</v>
      </c>
      <c r="R49" s="39"/>
      <c r="S49" s="38">
        <v>328000</v>
      </c>
      <c r="T49" s="39"/>
      <c r="U49" s="38">
        <v>474642</v>
      </c>
      <c r="V49" s="21"/>
      <c r="W49" s="38">
        <v>4920445</v>
      </c>
      <c r="X49" s="39"/>
      <c r="Y49" s="38">
        <v>2961300</v>
      </c>
      <c r="Z49" s="39"/>
      <c r="AA49" s="38">
        <v>994200</v>
      </c>
      <c r="AB49" s="39"/>
      <c r="AC49" s="38">
        <v>369000</v>
      </c>
      <c r="AD49" s="39"/>
      <c r="AE49" s="38">
        <v>373000</v>
      </c>
      <c r="AF49" s="39"/>
      <c r="AG49" s="38">
        <v>370000</v>
      </c>
      <c r="AH49" s="13" t="s">
        <v>78</v>
      </c>
      <c r="AI49" s="38">
        <v>356250</v>
      </c>
      <c r="AJ49" s="13" t="s">
        <v>78</v>
      </c>
      <c r="AK49" s="38">
        <v>414550</v>
      </c>
      <c r="AL49" s="13" t="s">
        <v>76</v>
      </c>
      <c r="AM49" s="38">
        <v>505000</v>
      </c>
      <c r="AN49" s="12" t="s">
        <v>78</v>
      </c>
      <c r="AO49" s="38">
        <f>468000000/1000</f>
        <v>468000</v>
      </c>
      <c r="AP49" s="12" t="s">
        <v>79</v>
      </c>
      <c r="AQ49" s="38">
        <f>463000000/1000</f>
        <v>463000</v>
      </c>
      <c r="AR49" s="39"/>
      <c r="AS49" s="38">
        <f>467000000/1000</f>
        <v>467000</v>
      </c>
      <c r="AT49" s="12"/>
      <c r="AU49" s="11">
        <v>517000</v>
      </c>
      <c r="AV49" s="10"/>
      <c r="AW49" s="38">
        <f>517000000/1000</f>
        <v>517000</v>
      </c>
      <c r="AX49" s="12"/>
      <c r="AY49" s="38">
        <f>465000000/1000</f>
        <v>465000</v>
      </c>
      <c r="AZ49" s="12"/>
      <c r="BA49" s="38">
        <f>465000000/1000</f>
        <v>465000</v>
      </c>
      <c r="BB49" s="12"/>
      <c r="BC49" s="38">
        <f>437000000/1000</f>
        <v>437000</v>
      </c>
      <c r="BD49" s="12"/>
      <c r="BE49" s="38">
        <v>0</v>
      </c>
      <c r="BF49" s="12"/>
      <c r="BG49" s="38">
        <f>422000000/1000</f>
        <v>422000</v>
      </c>
      <c r="BH49" s="12"/>
      <c r="BI49" s="51">
        <f>60000000/1000</f>
        <v>60000</v>
      </c>
      <c r="BJ49" s="50"/>
      <c r="BK49" s="51">
        <f>260000000/1000</f>
        <v>260000</v>
      </c>
      <c r="BL49" s="50"/>
      <c r="BM49" s="51">
        <f>140000000/1000</f>
        <v>140000</v>
      </c>
      <c r="BN49" s="50"/>
      <c r="BO49" s="51">
        <f>0</f>
        <v>0</v>
      </c>
      <c r="BP49" s="50"/>
    </row>
  </sheetData>
  <sheetProtection/>
  <printOptions horizontalCentered="1"/>
  <pageMargins left="0.25" right="0.5" top="0.75" bottom="0.75" header="0" footer="0"/>
  <pageSetup fitToWidth="7" fitToHeight="1" horizontalDpi="600" verticalDpi="600" orientation="portrait" scale="70" r:id="rId1"/>
  <colBreaks count="7" manualBreakCount="7">
    <brk id="12" max="48" man="1"/>
    <brk id="20" max="48" man="1"/>
    <brk id="28" max="48" man="1"/>
    <brk id="36" max="48" man="1"/>
    <brk id="44" max="48" man="1"/>
    <brk id="54" max="48" man="1"/>
    <brk id="62" max="48" man="1"/>
  </colBreaks>
</worksheet>
</file>

<file path=xl/worksheets/sheet2.xml><?xml version="1.0" encoding="utf-8"?>
<worksheet xmlns="http://schemas.openxmlformats.org/spreadsheetml/2006/main" xmlns:r="http://schemas.openxmlformats.org/officeDocument/2006/relationships">
  <dimension ref="A1:BO104"/>
  <sheetViews>
    <sheetView zoomScaleSheetLayoutView="100" zoomScalePageLayoutView="0" workbookViewId="0" topLeftCell="A82">
      <selection activeCell="A103" sqref="A103"/>
    </sheetView>
  </sheetViews>
  <sheetFormatPr defaultColWidth="9.00390625" defaultRowHeight="12.75"/>
  <cols>
    <col min="1" max="1" width="7.50390625" style="24" customWidth="1"/>
    <col min="2" max="2" width="6.75390625" style="2" customWidth="1"/>
    <col min="3" max="10" width="6.875" style="2" customWidth="1"/>
    <col min="11" max="15" width="9.00390625" style="2" customWidth="1"/>
    <col min="16" max="16" width="4.625" style="2" customWidth="1"/>
    <col min="17" max="16384" width="9.00390625" style="2" customWidth="1"/>
  </cols>
  <sheetData>
    <row r="1" spans="1:12" ht="14.25">
      <c r="A1" s="18" t="s">
        <v>82</v>
      </c>
      <c r="B1" s="1"/>
      <c r="C1" s="1"/>
      <c r="D1" s="1"/>
      <c r="E1" s="1"/>
      <c r="F1" s="1"/>
      <c r="G1" s="1"/>
      <c r="H1" s="1"/>
      <c r="I1" s="1" t="s">
        <v>121</v>
      </c>
      <c r="L1" s="40" t="s">
        <v>118</v>
      </c>
    </row>
    <row r="2" spans="1:10" ht="14.25">
      <c r="A2" s="18" t="s">
        <v>84</v>
      </c>
      <c r="B2" s="1"/>
      <c r="C2" s="1"/>
      <c r="D2" s="1"/>
      <c r="E2" s="1"/>
      <c r="F2" s="1"/>
      <c r="G2" s="1"/>
      <c r="H2" s="1"/>
      <c r="I2" s="1"/>
      <c r="J2" s="1"/>
    </row>
    <row r="3" spans="1:10" ht="14.25">
      <c r="A3" s="18" t="s">
        <v>85</v>
      </c>
      <c r="B3" s="1"/>
      <c r="C3" s="1"/>
      <c r="D3" s="1"/>
      <c r="E3" s="1"/>
      <c r="F3" s="1"/>
      <c r="G3" s="1"/>
      <c r="H3" s="1"/>
      <c r="I3" s="1"/>
      <c r="J3" s="1"/>
    </row>
    <row r="4" spans="1:10" ht="14.25">
      <c r="A4" s="18" t="s">
        <v>86</v>
      </c>
      <c r="B4" s="1"/>
      <c r="C4" s="1"/>
      <c r="D4" s="1"/>
      <c r="E4" s="1"/>
      <c r="F4" s="1"/>
      <c r="G4" s="1"/>
      <c r="H4" s="1"/>
      <c r="I4" s="1"/>
      <c r="J4" s="1"/>
    </row>
    <row r="5" spans="1:10" ht="14.25">
      <c r="A5" s="18" t="s">
        <v>122</v>
      </c>
      <c r="B5" s="1"/>
      <c r="C5" s="1"/>
      <c r="D5" s="1"/>
      <c r="E5" s="1"/>
      <c r="F5" s="1"/>
      <c r="G5" s="1"/>
      <c r="H5" s="1"/>
      <c r="I5" s="1"/>
      <c r="J5" s="1"/>
    </row>
    <row r="6" spans="1:10" ht="12.75">
      <c r="A6" s="45" t="str">
        <f>+Table!A6</f>
        <v>(Each year reflects any subsequent changes to that year, e.g., supplementals, rescissions, or transfers of budget authority)</v>
      </c>
      <c r="B6" s="1"/>
      <c r="C6" s="1"/>
      <c r="D6" s="1"/>
      <c r="E6" s="1"/>
      <c r="F6" s="1"/>
      <c r="G6" s="1"/>
      <c r="H6" s="1"/>
      <c r="I6" s="1"/>
      <c r="J6" s="1"/>
    </row>
    <row r="7" spans="1:10" ht="12.75">
      <c r="A7" s="52" t="s">
        <v>88</v>
      </c>
      <c r="B7" s="53"/>
      <c r="C7" s="53"/>
      <c r="D7" s="53"/>
      <c r="E7" s="53"/>
      <c r="F7" s="53"/>
      <c r="G7" s="53"/>
      <c r="H7" s="53"/>
      <c r="I7" s="53"/>
      <c r="J7" s="53"/>
    </row>
    <row r="8" spans="1:10" ht="14.25" customHeight="1">
      <c r="A8" s="25"/>
      <c r="B8" s="1"/>
      <c r="C8" s="1"/>
      <c r="D8" s="1"/>
      <c r="E8" s="1"/>
      <c r="F8" s="1"/>
      <c r="G8" s="1"/>
      <c r="H8" s="1"/>
      <c r="I8" s="1"/>
      <c r="J8" s="1"/>
    </row>
    <row r="9" spans="1:10" ht="12.75">
      <c r="A9" s="32">
        <v>1984</v>
      </c>
      <c r="B9" s="26"/>
      <c r="C9" s="26"/>
      <c r="D9" s="26"/>
      <c r="E9" s="26"/>
      <c r="F9" s="26"/>
      <c r="G9" s="26"/>
      <c r="H9" s="26"/>
      <c r="I9" s="26"/>
      <c r="J9" s="26"/>
    </row>
    <row r="10" spans="1:12" ht="12.75">
      <c r="A10" s="31" t="s">
        <v>76</v>
      </c>
      <c r="B10" s="59" t="s">
        <v>47</v>
      </c>
      <c r="C10" s="59"/>
      <c r="D10" s="59"/>
      <c r="E10" s="59"/>
      <c r="F10" s="59"/>
      <c r="G10" s="59"/>
      <c r="H10" s="59"/>
      <c r="I10" s="59"/>
      <c r="J10" s="59"/>
      <c r="K10" s="59"/>
      <c r="L10" s="59"/>
    </row>
    <row r="11" spans="1:10" ht="14.25" customHeight="1">
      <c r="A11" s="27"/>
      <c r="B11" s="28"/>
      <c r="C11" s="28"/>
      <c r="D11" s="28"/>
      <c r="E11" s="28"/>
      <c r="F11" s="28"/>
      <c r="G11" s="28"/>
      <c r="H11" s="28"/>
      <c r="I11" s="28"/>
      <c r="J11" s="28"/>
    </row>
    <row r="12" spans="1:10" ht="12.75">
      <c r="A12" s="32">
        <v>1985</v>
      </c>
      <c r="B12" s="26"/>
      <c r="C12" s="26"/>
      <c r="D12" s="26"/>
      <c r="E12" s="26"/>
      <c r="F12" s="26"/>
      <c r="G12" s="26"/>
      <c r="H12" s="26"/>
      <c r="I12" s="26"/>
      <c r="J12" s="26"/>
    </row>
    <row r="13" spans="1:67" ht="12.75">
      <c r="A13" s="31" t="s">
        <v>76</v>
      </c>
      <c r="B13" s="59" t="s">
        <v>48</v>
      </c>
      <c r="C13" s="59"/>
      <c r="D13" s="59"/>
      <c r="E13" s="59"/>
      <c r="F13" s="59"/>
      <c r="G13" s="59"/>
      <c r="H13" s="59"/>
      <c r="I13" s="59"/>
      <c r="J13" s="59"/>
      <c r="K13" s="59"/>
      <c r="L13" s="59"/>
      <c r="BO13" s="54"/>
    </row>
    <row r="14" spans="1:10" ht="14.25" customHeight="1">
      <c r="A14" s="27"/>
      <c r="B14" s="28"/>
      <c r="C14" s="28"/>
      <c r="D14" s="28"/>
      <c r="E14" s="28"/>
      <c r="F14" s="28"/>
      <c r="G14" s="28"/>
      <c r="H14" s="28"/>
      <c r="I14" s="28"/>
      <c r="J14" s="28"/>
    </row>
    <row r="15" spans="1:10" ht="12.75">
      <c r="A15" s="32">
        <v>1986</v>
      </c>
      <c r="B15" s="26"/>
      <c r="C15" s="26"/>
      <c r="D15" s="26"/>
      <c r="E15" s="26"/>
      <c r="F15" s="26"/>
      <c r="G15" s="26"/>
      <c r="H15" s="26"/>
      <c r="I15" s="26"/>
      <c r="J15" s="26"/>
    </row>
    <row r="16" spans="1:67" ht="12.75">
      <c r="A16" s="31" t="s">
        <v>76</v>
      </c>
      <c r="B16" s="59" t="s">
        <v>48</v>
      </c>
      <c r="C16" s="59"/>
      <c r="D16" s="59"/>
      <c r="E16" s="59"/>
      <c r="F16" s="59"/>
      <c r="G16" s="59"/>
      <c r="H16" s="59"/>
      <c r="I16" s="59"/>
      <c r="J16" s="59"/>
      <c r="K16" s="59"/>
      <c r="L16" s="59"/>
      <c r="BO16" s="54"/>
    </row>
    <row r="17" spans="1:10" ht="14.25" customHeight="1">
      <c r="A17" s="27"/>
      <c r="B17" s="28"/>
      <c r="C17" s="28"/>
      <c r="D17" s="28"/>
      <c r="E17" s="28"/>
      <c r="F17" s="28"/>
      <c r="G17" s="28"/>
      <c r="H17" s="28"/>
      <c r="I17" s="28"/>
      <c r="J17" s="28"/>
    </row>
    <row r="18" spans="1:10" ht="12.75">
      <c r="A18" s="32">
        <v>1987</v>
      </c>
      <c r="B18" s="26"/>
      <c r="C18" s="26"/>
      <c r="D18" s="26"/>
      <c r="E18" s="26"/>
      <c r="F18" s="26"/>
      <c r="G18" s="26"/>
      <c r="H18" s="26"/>
      <c r="I18" s="26"/>
      <c r="J18" s="26"/>
    </row>
    <row r="19" spans="1:12" ht="12.75">
      <c r="A19" s="31" t="s">
        <v>76</v>
      </c>
      <c r="B19" s="59" t="s">
        <v>48</v>
      </c>
      <c r="C19" s="59"/>
      <c r="D19" s="59"/>
      <c r="E19" s="59"/>
      <c r="F19" s="59"/>
      <c r="G19" s="59"/>
      <c r="H19" s="59"/>
      <c r="I19" s="59"/>
      <c r="J19" s="59"/>
      <c r="K19" s="59"/>
      <c r="L19" s="59"/>
    </row>
    <row r="20" spans="1:67" ht="12.75">
      <c r="A20" s="31" t="s">
        <v>77</v>
      </c>
      <c r="B20" s="59" t="s">
        <v>49</v>
      </c>
      <c r="C20" s="59"/>
      <c r="D20" s="59"/>
      <c r="E20" s="59"/>
      <c r="F20" s="59"/>
      <c r="G20" s="59"/>
      <c r="H20" s="59"/>
      <c r="I20" s="59"/>
      <c r="J20" s="59"/>
      <c r="K20" s="59"/>
      <c r="L20" s="59"/>
      <c r="BO20" s="54"/>
    </row>
    <row r="21" spans="1:10" ht="14.25" customHeight="1">
      <c r="A21" s="27"/>
      <c r="B21" s="28"/>
      <c r="C21" s="28"/>
      <c r="D21" s="28"/>
      <c r="E21" s="28"/>
      <c r="F21" s="28"/>
      <c r="G21" s="28"/>
      <c r="H21" s="28"/>
      <c r="I21" s="28"/>
      <c r="J21" s="28"/>
    </row>
    <row r="22" spans="1:67" ht="12.75">
      <c r="A22" s="32">
        <v>1988</v>
      </c>
      <c r="B22" s="26"/>
      <c r="C22" s="26"/>
      <c r="D22" s="26"/>
      <c r="E22" s="26"/>
      <c r="F22" s="26"/>
      <c r="G22" s="26"/>
      <c r="H22" s="26"/>
      <c r="I22" s="26"/>
      <c r="J22" s="26"/>
      <c r="BO22" s="54"/>
    </row>
    <row r="23" spans="1:12" ht="12.75">
      <c r="A23" s="31" t="s">
        <v>76</v>
      </c>
      <c r="B23" s="59" t="s">
        <v>48</v>
      </c>
      <c r="C23" s="59"/>
      <c r="D23" s="59"/>
      <c r="E23" s="59"/>
      <c r="F23" s="59"/>
      <c r="G23" s="59"/>
      <c r="H23" s="59"/>
      <c r="I23" s="59"/>
      <c r="J23" s="59"/>
      <c r="K23" s="59"/>
      <c r="L23" s="59"/>
    </row>
    <row r="24" spans="1:10" ht="14.25" customHeight="1">
      <c r="A24" s="27"/>
      <c r="B24" s="28"/>
      <c r="C24" s="28"/>
      <c r="D24" s="28"/>
      <c r="E24" s="28"/>
      <c r="F24" s="28"/>
      <c r="G24" s="28"/>
      <c r="H24" s="28"/>
      <c r="I24" s="28"/>
      <c r="J24" s="28"/>
    </row>
    <row r="25" spans="1:10" ht="12.75">
      <c r="A25" s="32">
        <v>1989</v>
      </c>
      <c r="B25" s="26"/>
      <c r="C25" s="26"/>
      <c r="D25" s="26"/>
      <c r="E25" s="26"/>
      <c r="F25" s="26"/>
      <c r="G25" s="26"/>
      <c r="H25" s="26"/>
      <c r="I25" s="26"/>
      <c r="J25" s="26"/>
    </row>
    <row r="26" spans="1:12" ht="25.5" customHeight="1">
      <c r="A26" s="31" t="s">
        <v>76</v>
      </c>
      <c r="B26" s="59" t="s">
        <v>50</v>
      </c>
      <c r="C26" s="59"/>
      <c r="D26" s="59"/>
      <c r="E26" s="59"/>
      <c r="F26" s="59"/>
      <c r="G26" s="59"/>
      <c r="H26" s="59"/>
      <c r="I26" s="59"/>
      <c r="J26" s="59"/>
      <c r="K26" s="59"/>
      <c r="L26" s="59"/>
    </row>
    <row r="27" spans="1:10" ht="14.25" customHeight="1">
      <c r="A27" s="27"/>
      <c r="B27" s="28"/>
      <c r="C27" s="28"/>
      <c r="D27" s="28"/>
      <c r="E27" s="28"/>
      <c r="F27" s="28"/>
      <c r="G27" s="28"/>
      <c r="H27" s="28"/>
      <c r="I27" s="28"/>
      <c r="J27" s="28"/>
    </row>
    <row r="28" spans="1:67" ht="12.75">
      <c r="A28" s="32">
        <v>1991</v>
      </c>
      <c r="B28" s="26"/>
      <c r="C28" s="26"/>
      <c r="D28" s="26"/>
      <c r="E28" s="26"/>
      <c r="F28" s="26"/>
      <c r="G28" s="26"/>
      <c r="H28" s="26"/>
      <c r="I28" s="26"/>
      <c r="J28" s="26"/>
      <c r="BO28" s="54"/>
    </row>
    <row r="29" spans="1:12" ht="12.75" customHeight="1">
      <c r="A29" s="31" t="s">
        <v>76</v>
      </c>
      <c r="B29" s="59" t="s">
        <v>59</v>
      </c>
      <c r="C29" s="59"/>
      <c r="D29" s="59"/>
      <c r="E29" s="59"/>
      <c r="F29" s="59"/>
      <c r="G29" s="59"/>
      <c r="H29" s="59"/>
      <c r="I29" s="59"/>
      <c r="J29" s="59"/>
      <c r="K29" s="59"/>
      <c r="L29" s="59"/>
    </row>
    <row r="30" spans="1:67" ht="14.25" customHeight="1">
      <c r="A30" s="27"/>
      <c r="B30" s="28"/>
      <c r="C30" s="28"/>
      <c r="D30" s="28"/>
      <c r="E30" s="28"/>
      <c r="F30" s="28"/>
      <c r="G30" s="28"/>
      <c r="H30" s="28"/>
      <c r="I30" s="28"/>
      <c r="J30" s="28"/>
      <c r="BO30" s="54"/>
    </row>
    <row r="31" spans="1:10" ht="12.75">
      <c r="A31" s="32">
        <v>1995</v>
      </c>
      <c r="B31" s="26"/>
      <c r="C31" s="26"/>
      <c r="D31" s="26"/>
      <c r="E31" s="26"/>
      <c r="F31" s="26"/>
      <c r="G31" s="26"/>
      <c r="H31" s="26"/>
      <c r="I31" s="26"/>
      <c r="J31" s="26"/>
    </row>
    <row r="32" spans="1:12" ht="12.75">
      <c r="A32" s="31" t="s">
        <v>76</v>
      </c>
      <c r="B32" s="59" t="s">
        <v>63</v>
      </c>
      <c r="C32" s="59"/>
      <c r="D32" s="59"/>
      <c r="E32" s="59"/>
      <c r="F32" s="59"/>
      <c r="G32" s="59"/>
      <c r="H32" s="59"/>
      <c r="I32" s="59"/>
      <c r="J32" s="59"/>
      <c r="K32" s="59"/>
      <c r="L32" s="59"/>
    </row>
    <row r="33" spans="1:10" ht="14.25" customHeight="1">
      <c r="A33" s="27"/>
      <c r="B33" s="28"/>
      <c r="C33" s="28"/>
      <c r="D33" s="28"/>
      <c r="E33" s="28"/>
      <c r="F33" s="28"/>
      <c r="G33" s="28"/>
      <c r="H33" s="28"/>
      <c r="I33" s="28"/>
      <c r="J33" s="28"/>
    </row>
    <row r="34" spans="1:67" ht="12.75">
      <c r="A34" s="32">
        <v>1997</v>
      </c>
      <c r="B34" s="26"/>
      <c r="C34" s="26"/>
      <c r="D34" s="26"/>
      <c r="E34" s="26"/>
      <c r="F34" s="26"/>
      <c r="G34" s="26"/>
      <c r="H34" s="26"/>
      <c r="I34" s="26"/>
      <c r="J34" s="26"/>
      <c r="BO34" s="54"/>
    </row>
    <row r="35" spans="1:67" ht="12.75">
      <c r="A35" s="31" t="s">
        <v>76</v>
      </c>
      <c r="B35" s="59" t="s">
        <v>64</v>
      </c>
      <c r="C35" s="59"/>
      <c r="D35" s="59"/>
      <c r="E35" s="59"/>
      <c r="F35" s="59"/>
      <c r="G35" s="59"/>
      <c r="H35" s="59"/>
      <c r="I35" s="59"/>
      <c r="J35" s="59"/>
      <c r="K35" s="59"/>
      <c r="L35" s="59"/>
      <c r="BO35" s="54"/>
    </row>
    <row r="36" spans="1:67" ht="14.25" customHeight="1">
      <c r="A36" s="27"/>
      <c r="B36" s="28"/>
      <c r="C36" s="28"/>
      <c r="D36" s="28"/>
      <c r="E36" s="28"/>
      <c r="F36" s="28"/>
      <c r="G36" s="28"/>
      <c r="H36" s="28"/>
      <c r="I36" s="28"/>
      <c r="J36" s="28"/>
      <c r="BO36" s="54"/>
    </row>
    <row r="37" spans="1:10" ht="12.75">
      <c r="A37" s="32">
        <v>1998</v>
      </c>
      <c r="B37" s="26"/>
      <c r="C37" s="26"/>
      <c r="D37" s="26"/>
      <c r="E37" s="26"/>
      <c r="F37" s="26"/>
      <c r="G37" s="26"/>
      <c r="H37" s="26"/>
      <c r="I37" s="26"/>
      <c r="J37" s="26"/>
    </row>
    <row r="38" spans="1:12" ht="24.75" customHeight="1">
      <c r="A38" s="31" t="s">
        <v>76</v>
      </c>
      <c r="B38" s="59" t="s">
        <v>65</v>
      </c>
      <c r="C38" s="59"/>
      <c r="D38" s="59"/>
      <c r="E38" s="59"/>
      <c r="F38" s="59"/>
      <c r="G38" s="59"/>
      <c r="H38" s="59"/>
      <c r="I38" s="59"/>
      <c r="J38" s="59"/>
      <c r="K38" s="59"/>
      <c r="L38" s="59"/>
    </row>
    <row r="39" spans="1:12" ht="27" customHeight="1">
      <c r="A39" s="31" t="s">
        <v>77</v>
      </c>
      <c r="B39" s="59" t="s">
        <v>66</v>
      </c>
      <c r="C39" s="59"/>
      <c r="D39" s="59"/>
      <c r="E39" s="59"/>
      <c r="F39" s="59"/>
      <c r="G39" s="59"/>
      <c r="H39" s="59"/>
      <c r="I39" s="59"/>
      <c r="J39" s="59"/>
      <c r="K39" s="59"/>
      <c r="L39" s="59"/>
    </row>
    <row r="40" spans="1:12" ht="27.75" customHeight="1">
      <c r="A40" s="31" t="s">
        <v>78</v>
      </c>
      <c r="B40" s="59" t="s">
        <v>51</v>
      </c>
      <c r="C40" s="59"/>
      <c r="D40" s="59"/>
      <c r="E40" s="59"/>
      <c r="F40" s="59"/>
      <c r="G40" s="59"/>
      <c r="H40" s="59"/>
      <c r="I40" s="59"/>
      <c r="J40" s="59"/>
      <c r="K40" s="59"/>
      <c r="L40" s="59"/>
    </row>
    <row r="41" spans="1:10" ht="14.25" customHeight="1">
      <c r="A41" s="27"/>
      <c r="B41" s="28"/>
      <c r="C41" s="28"/>
      <c r="D41" s="28"/>
      <c r="E41" s="28"/>
      <c r="F41" s="28"/>
      <c r="G41" s="28"/>
      <c r="H41" s="28"/>
      <c r="I41" s="28"/>
      <c r="J41" s="28"/>
    </row>
    <row r="42" spans="1:67" ht="12.75">
      <c r="A42" s="32">
        <v>1999</v>
      </c>
      <c r="B42" s="26"/>
      <c r="C42" s="26"/>
      <c r="D42" s="26"/>
      <c r="E42" s="26"/>
      <c r="F42" s="26"/>
      <c r="G42" s="26"/>
      <c r="H42" s="26"/>
      <c r="I42" s="26"/>
      <c r="J42" s="26"/>
      <c r="BO42" s="54"/>
    </row>
    <row r="43" spans="1:67" ht="40.5" customHeight="1">
      <c r="A43" s="31" t="s">
        <v>76</v>
      </c>
      <c r="B43" s="59" t="s">
        <v>67</v>
      </c>
      <c r="C43" s="59"/>
      <c r="D43" s="59"/>
      <c r="E43" s="59"/>
      <c r="F43" s="59"/>
      <c r="G43" s="59"/>
      <c r="H43" s="59"/>
      <c r="I43" s="59"/>
      <c r="J43" s="59"/>
      <c r="K43" s="59"/>
      <c r="L43" s="59"/>
      <c r="BO43" s="54"/>
    </row>
    <row r="44" spans="1:12" ht="31.5" customHeight="1">
      <c r="A44" s="31" t="s">
        <v>77</v>
      </c>
      <c r="B44" s="59" t="s">
        <v>68</v>
      </c>
      <c r="C44" s="59"/>
      <c r="D44" s="59"/>
      <c r="E44" s="59"/>
      <c r="F44" s="59"/>
      <c r="G44" s="59"/>
      <c r="H44" s="59"/>
      <c r="I44" s="59"/>
      <c r="J44" s="59"/>
      <c r="K44" s="59"/>
      <c r="L44" s="59"/>
    </row>
    <row r="45" spans="1:12" ht="30" customHeight="1">
      <c r="A45" s="31" t="s">
        <v>78</v>
      </c>
      <c r="B45" s="59" t="s">
        <v>51</v>
      </c>
      <c r="C45" s="59"/>
      <c r="D45" s="59"/>
      <c r="E45" s="59"/>
      <c r="F45" s="59"/>
      <c r="G45" s="59"/>
      <c r="H45" s="59"/>
      <c r="I45" s="59"/>
      <c r="J45" s="59"/>
      <c r="K45" s="59"/>
      <c r="L45" s="59"/>
    </row>
    <row r="46" spans="1:67" ht="14.25" customHeight="1">
      <c r="A46" s="27"/>
      <c r="B46" s="28"/>
      <c r="C46" s="28"/>
      <c r="D46" s="28"/>
      <c r="E46" s="28"/>
      <c r="F46" s="28"/>
      <c r="G46" s="28"/>
      <c r="H46" s="28"/>
      <c r="I46" s="28"/>
      <c r="J46" s="28"/>
      <c r="BO46" s="54"/>
    </row>
    <row r="47" spans="1:10" ht="12.75">
      <c r="A47" s="32">
        <v>2000</v>
      </c>
      <c r="B47" s="26"/>
      <c r="C47" s="26"/>
      <c r="D47" s="26"/>
      <c r="E47" s="26"/>
      <c r="F47" s="26"/>
      <c r="G47" s="26"/>
      <c r="H47" s="26"/>
      <c r="I47" s="26"/>
      <c r="J47" s="26"/>
    </row>
    <row r="48" spans="1:12" ht="16.5" customHeight="1">
      <c r="A48" s="31" t="s">
        <v>76</v>
      </c>
      <c r="B48" s="59" t="s">
        <v>46</v>
      </c>
      <c r="C48" s="59"/>
      <c r="D48" s="59"/>
      <c r="E48" s="59"/>
      <c r="F48" s="59"/>
      <c r="G48" s="59"/>
      <c r="H48" s="59"/>
      <c r="I48" s="59"/>
      <c r="J48" s="59"/>
      <c r="K48" s="59"/>
      <c r="L48" s="59"/>
    </row>
    <row r="49" spans="1:67" ht="14.25" customHeight="1">
      <c r="A49" s="27"/>
      <c r="B49" s="28"/>
      <c r="C49" s="28"/>
      <c r="D49" s="28"/>
      <c r="E49" s="28"/>
      <c r="F49" s="28"/>
      <c r="G49" s="28"/>
      <c r="H49" s="28"/>
      <c r="I49" s="28"/>
      <c r="J49" s="28"/>
      <c r="BO49" s="54"/>
    </row>
    <row r="50" spans="1:10" ht="12.75">
      <c r="A50" s="32">
        <v>2001</v>
      </c>
      <c r="B50" s="26"/>
      <c r="C50" s="26"/>
      <c r="D50" s="26"/>
      <c r="E50" s="26"/>
      <c r="F50" s="26"/>
      <c r="G50" s="26"/>
      <c r="H50" s="26"/>
      <c r="I50" s="26"/>
      <c r="J50" s="26"/>
    </row>
    <row r="51" spans="1:12" ht="13.5" customHeight="1">
      <c r="A51" s="31" t="s">
        <v>76</v>
      </c>
      <c r="B51" s="59" t="s">
        <v>69</v>
      </c>
      <c r="C51" s="59"/>
      <c r="D51" s="59"/>
      <c r="E51" s="59"/>
      <c r="F51" s="59"/>
      <c r="G51" s="59"/>
      <c r="H51" s="59"/>
      <c r="I51" s="59"/>
      <c r="J51" s="59"/>
      <c r="K51" s="59"/>
      <c r="L51" s="59"/>
    </row>
    <row r="52" spans="1:12" ht="25.5" customHeight="1">
      <c r="A52" s="31" t="s">
        <v>77</v>
      </c>
      <c r="B52" s="59" t="s">
        <v>57</v>
      </c>
      <c r="C52" s="59"/>
      <c r="D52" s="59"/>
      <c r="E52" s="59"/>
      <c r="F52" s="59"/>
      <c r="G52" s="59"/>
      <c r="H52" s="59"/>
      <c r="I52" s="59"/>
      <c r="J52" s="59"/>
      <c r="K52" s="59"/>
      <c r="L52" s="59"/>
    </row>
    <row r="53" spans="1:12" ht="25.5" customHeight="1">
      <c r="A53" s="31" t="s">
        <v>78</v>
      </c>
      <c r="B53" s="59" t="s">
        <v>56</v>
      </c>
      <c r="C53" s="59"/>
      <c r="D53" s="59"/>
      <c r="E53" s="59"/>
      <c r="F53" s="59"/>
      <c r="G53" s="59"/>
      <c r="H53" s="59"/>
      <c r="I53" s="59"/>
      <c r="J53" s="59"/>
      <c r="K53" s="59"/>
      <c r="L53" s="59"/>
    </row>
    <row r="54" spans="1:10" ht="14.25" customHeight="1">
      <c r="A54" s="27"/>
      <c r="B54" s="28"/>
      <c r="C54" s="28"/>
      <c r="D54" s="28"/>
      <c r="E54" s="28"/>
      <c r="F54" s="28"/>
      <c r="G54" s="28"/>
      <c r="H54" s="28"/>
      <c r="I54" s="28"/>
      <c r="J54" s="28"/>
    </row>
    <row r="55" spans="1:10" ht="12.75">
      <c r="A55" s="32">
        <v>2002</v>
      </c>
      <c r="B55" s="26"/>
      <c r="C55" s="26"/>
      <c r="D55" s="26"/>
      <c r="E55" s="26"/>
      <c r="F55" s="26"/>
      <c r="G55" s="26"/>
      <c r="H55" s="26"/>
      <c r="I55" s="26"/>
      <c r="J55" s="26"/>
    </row>
    <row r="56" spans="1:12" ht="32.25" customHeight="1">
      <c r="A56" s="31" t="s">
        <v>76</v>
      </c>
      <c r="B56" s="59" t="s">
        <v>92</v>
      </c>
      <c r="C56" s="59"/>
      <c r="D56" s="59"/>
      <c r="E56" s="59"/>
      <c r="F56" s="59"/>
      <c r="G56" s="59"/>
      <c r="H56" s="59"/>
      <c r="I56" s="59"/>
      <c r="J56" s="59"/>
      <c r="K56" s="59"/>
      <c r="L56" s="59"/>
    </row>
    <row r="57" spans="1:12" ht="24.75" customHeight="1">
      <c r="A57" s="31" t="s">
        <v>77</v>
      </c>
      <c r="B57" s="59" t="s">
        <v>70</v>
      </c>
      <c r="C57" s="59"/>
      <c r="D57" s="59"/>
      <c r="E57" s="59"/>
      <c r="F57" s="59"/>
      <c r="G57" s="59"/>
      <c r="H57" s="59"/>
      <c r="I57" s="59"/>
      <c r="J57" s="59"/>
      <c r="K57" s="59"/>
      <c r="L57" s="59"/>
    </row>
    <row r="58" spans="1:12" ht="24" customHeight="1">
      <c r="A58" s="31" t="s">
        <v>78</v>
      </c>
      <c r="B58" s="59" t="s">
        <v>71</v>
      </c>
      <c r="C58" s="59"/>
      <c r="D58" s="59"/>
      <c r="E58" s="59"/>
      <c r="F58" s="59"/>
      <c r="G58" s="59"/>
      <c r="H58" s="59"/>
      <c r="I58" s="59"/>
      <c r="J58" s="59"/>
      <c r="K58" s="59"/>
      <c r="L58" s="59"/>
    </row>
    <row r="59" spans="1:12" ht="12.75" customHeight="1">
      <c r="A59" s="31" t="s">
        <v>79</v>
      </c>
      <c r="B59" s="59" t="s">
        <v>72</v>
      </c>
      <c r="C59" s="59"/>
      <c r="D59" s="59"/>
      <c r="E59" s="59"/>
      <c r="F59" s="59"/>
      <c r="G59" s="59"/>
      <c r="H59" s="59"/>
      <c r="I59" s="59"/>
      <c r="J59" s="59"/>
      <c r="K59" s="59"/>
      <c r="L59" s="59"/>
    </row>
    <row r="60" spans="1:10" ht="14.25" customHeight="1">
      <c r="A60" s="27"/>
      <c r="B60" s="28"/>
      <c r="C60" s="28"/>
      <c r="D60" s="28"/>
      <c r="E60" s="28"/>
      <c r="F60" s="28"/>
      <c r="G60" s="28"/>
      <c r="H60" s="28"/>
      <c r="I60" s="28"/>
      <c r="J60" s="28"/>
    </row>
    <row r="61" spans="1:10" ht="12.75">
      <c r="A61" s="32">
        <v>2003</v>
      </c>
      <c r="B61" s="26"/>
      <c r="C61" s="26"/>
      <c r="D61" s="26"/>
      <c r="E61" s="26"/>
      <c r="F61" s="26"/>
      <c r="G61" s="26"/>
      <c r="H61" s="26"/>
      <c r="I61" s="26"/>
      <c r="J61" s="26"/>
    </row>
    <row r="62" spans="1:12" ht="24" customHeight="1">
      <c r="A62" s="31" t="s">
        <v>76</v>
      </c>
      <c r="B62" s="60" t="s">
        <v>95</v>
      </c>
      <c r="C62" s="60"/>
      <c r="D62" s="60"/>
      <c r="E62" s="60"/>
      <c r="F62" s="60"/>
      <c r="G62" s="60"/>
      <c r="H62" s="60"/>
      <c r="I62" s="60"/>
      <c r="J62" s="60"/>
      <c r="K62" s="60"/>
      <c r="L62" s="60"/>
    </row>
    <row r="63" spans="1:12" ht="24.75" customHeight="1">
      <c r="A63" s="31" t="s">
        <v>77</v>
      </c>
      <c r="B63" s="59" t="s">
        <v>73</v>
      </c>
      <c r="C63" s="59"/>
      <c r="D63" s="59"/>
      <c r="E63" s="59"/>
      <c r="F63" s="59"/>
      <c r="G63" s="59"/>
      <c r="H63" s="59"/>
      <c r="I63" s="59"/>
      <c r="J63" s="59"/>
      <c r="K63" s="59"/>
      <c r="L63" s="59"/>
    </row>
    <row r="64" spans="1:10" ht="14.25" customHeight="1">
      <c r="A64" s="27"/>
      <c r="B64" s="28"/>
      <c r="C64" s="28"/>
      <c r="D64" s="28"/>
      <c r="E64" s="28"/>
      <c r="F64" s="28"/>
      <c r="G64" s="28"/>
      <c r="H64" s="28"/>
      <c r="I64" s="28"/>
      <c r="J64" s="28"/>
    </row>
    <row r="65" spans="1:10" ht="14.25" customHeight="1">
      <c r="A65" s="32">
        <v>2004</v>
      </c>
      <c r="B65" s="28"/>
      <c r="C65" s="28"/>
      <c r="D65" s="28"/>
      <c r="E65" s="28"/>
      <c r="F65" s="28"/>
      <c r="G65" s="28"/>
      <c r="H65" s="28"/>
      <c r="I65" s="28"/>
      <c r="J65" s="28"/>
    </row>
    <row r="66" spans="1:12" ht="24.75" customHeight="1">
      <c r="A66" s="31" t="s">
        <v>76</v>
      </c>
      <c r="B66" s="60" t="s">
        <v>94</v>
      </c>
      <c r="C66" s="60"/>
      <c r="D66" s="60"/>
      <c r="E66" s="60"/>
      <c r="F66" s="60"/>
      <c r="G66" s="60"/>
      <c r="H66" s="60"/>
      <c r="I66" s="60"/>
      <c r="J66" s="60"/>
      <c r="K66" s="60"/>
      <c r="L66" s="60"/>
    </row>
    <row r="67" spans="1:12" ht="27.75" customHeight="1">
      <c r="A67" s="31" t="s">
        <v>77</v>
      </c>
      <c r="B67" s="59" t="s">
        <v>74</v>
      </c>
      <c r="C67" s="59"/>
      <c r="D67" s="59"/>
      <c r="E67" s="59"/>
      <c r="F67" s="59"/>
      <c r="G67" s="59"/>
      <c r="H67" s="59"/>
      <c r="I67" s="59"/>
      <c r="J67" s="59"/>
      <c r="K67" s="59"/>
      <c r="L67" s="59"/>
    </row>
    <row r="68" spans="1:12" ht="14.25" customHeight="1">
      <c r="A68" s="31" t="s">
        <v>78</v>
      </c>
      <c r="B68" s="59" t="s">
        <v>60</v>
      </c>
      <c r="C68" s="59"/>
      <c r="D68" s="59"/>
      <c r="E68" s="59"/>
      <c r="F68" s="59"/>
      <c r="G68" s="59"/>
      <c r="H68" s="59"/>
      <c r="I68" s="59"/>
      <c r="J68" s="59"/>
      <c r="K68" s="59"/>
      <c r="L68" s="59"/>
    </row>
    <row r="69" spans="1:10" ht="14.25" customHeight="1">
      <c r="A69" s="27"/>
      <c r="B69" s="28"/>
      <c r="C69" s="28"/>
      <c r="D69" s="28"/>
      <c r="E69" s="28"/>
      <c r="F69" s="28"/>
      <c r="G69" s="28"/>
      <c r="H69" s="28"/>
      <c r="I69" s="28"/>
      <c r="J69" s="28"/>
    </row>
    <row r="70" spans="1:10" ht="12.75">
      <c r="A70" s="32">
        <v>2005</v>
      </c>
      <c r="B70" s="26"/>
      <c r="C70" s="26"/>
      <c r="D70" s="26"/>
      <c r="E70" s="26"/>
      <c r="F70" s="26"/>
      <c r="G70" s="26"/>
      <c r="H70" s="26"/>
      <c r="I70" s="26"/>
      <c r="J70" s="26"/>
    </row>
    <row r="71" spans="1:12" ht="26.25" customHeight="1">
      <c r="A71" s="31" t="s">
        <v>76</v>
      </c>
      <c r="B71" s="60" t="s">
        <v>93</v>
      </c>
      <c r="C71" s="60"/>
      <c r="D71" s="60"/>
      <c r="E71" s="60"/>
      <c r="F71" s="60"/>
      <c r="G71" s="60"/>
      <c r="H71" s="60"/>
      <c r="I71" s="60"/>
      <c r="J71" s="60"/>
      <c r="K71" s="60"/>
      <c r="L71" s="60"/>
    </row>
    <row r="72" spans="1:12" ht="27" customHeight="1">
      <c r="A72" s="31" t="s">
        <v>77</v>
      </c>
      <c r="B72" s="61" t="s">
        <v>87</v>
      </c>
      <c r="C72" s="61"/>
      <c r="D72" s="61"/>
      <c r="E72" s="61"/>
      <c r="F72" s="61"/>
      <c r="G72" s="61"/>
      <c r="H72" s="61"/>
      <c r="I72" s="61"/>
      <c r="J72" s="61"/>
      <c r="K72" s="61"/>
      <c r="L72" s="61"/>
    </row>
    <row r="73" spans="1:10" ht="12.75">
      <c r="A73" s="29"/>
      <c r="B73" s="30"/>
      <c r="C73" s="30"/>
      <c r="D73" s="30"/>
      <c r="E73" s="30"/>
      <c r="F73" s="30"/>
      <c r="G73" s="30"/>
      <c r="H73" s="30"/>
      <c r="I73" s="30"/>
      <c r="J73" s="30"/>
    </row>
    <row r="74" spans="1:10" ht="12.75">
      <c r="A74" s="32">
        <v>2006</v>
      </c>
      <c r="B74" s="30"/>
      <c r="C74" s="30"/>
      <c r="D74" s="30"/>
      <c r="E74" s="30"/>
      <c r="F74" s="30"/>
      <c r="G74" s="30"/>
      <c r="H74" s="30"/>
      <c r="I74" s="30"/>
      <c r="J74" s="30"/>
    </row>
    <row r="75" spans="1:12" ht="24.75" customHeight="1">
      <c r="A75" s="31" t="s">
        <v>76</v>
      </c>
      <c r="B75" s="60" t="s">
        <v>96</v>
      </c>
      <c r="C75" s="60"/>
      <c r="D75" s="60"/>
      <c r="E75" s="60"/>
      <c r="F75" s="60"/>
      <c r="G75" s="60"/>
      <c r="H75" s="60"/>
      <c r="I75" s="60"/>
      <c r="J75" s="60"/>
      <c r="K75" s="60"/>
      <c r="L75" s="60"/>
    </row>
    <row r="76" spans="1:12" ht="15" customHeight="1">
      <c r="A76" s="31"/>
      <c r="B76" s="47"/>
      <c r="C76" s="47"/>
      <c r="D76" s="47"/>
      <c r="E76" s="47"/>
      <c r="F76" s="47"/>
      <c r="G76" s="47"/>
      <c r="H76" s="47"/>
      <c r="I76" s="47"/>
      <c r="J76" s="47"/>
      <c r="K76" s="48"/>
      <c r="L76" s="48"/>
    </row>
    <row r="77" spans="1:10" ht="12.75">
      <c r="A77" s="32">
        <v>2008</v>
      </c>
      <c r="B77" s="30"/>
      <c r="C77" s="30"/>
      <c r="D77" s="30"/>
      <c r="E77" s="30"/>
      <c r="F77" s="30"/>
      <c r="G77" s="30"/>
      <c r="H77" s="30"/>
      <c r="I77" s="30"/>
      <c r="J77" s="30"/>
    </row>
    <row r="78" spans="1:10" ht="12.75">
      <c r="A78" s="46" t="s">
        <v>76</v>
      </c>
      <c r="B78" s="30" t="s">
        <v>101</v>
      </c>
      <c r="C78" s="30"/>
      <c r="D78" s="30"/>
      <c r="E78" s="30"/>
      <c r="F78" s="30"/>
      <c r="G78" s="30"/>
      <c r="H78" s="30"/>
      <c r="I78" s="30"/>
      <c r="J78" s="30"/>
    </row>
    <row r="79" spans="1:12" ht="12.75">
      <c r="A79" s="46" t="s">
        <v>77</v>
      </c>
      <c r="B79" s="1" t="s">
        <v>99</v>
      </c>
      <c r="C79" s="1"/>
      <c r="D79" s="1"/>
      <c r="E79" s="1"/>
      <c r="F79" s="1"/>
      <c r="G79" s="1"/>
      <c r="H79" s="1"/>
      <c r="I79" s="1"/>
      <c r="J79" s="1"/>
      <c r="K79" s="1"/>
      <c r="L79" s="1"/>
    </row>
    <row r="80" spans="1:10" ht="12.75">
      <c r="A80" s="29"/>
      <c r="B80" s="30"/>
      <c r="C80" s="30"/>
      <c r="D80" s="30"/>
      <c r="E80" s="30"/>
      <c r="F80" s="30"/>
      <c r="G80" s="30"/>
      <c r="H80" s="30"/>
      <c r="I80" s="30"/>
      <c r="J80" s="30"/>
    </row>
    <row r="81" spans="1:10" ht="12.75">
      <c r="A81" s="32" t="s">
        <v>107</v>
      </c>
      <c r="B81" s="30"/>
      <c r="C81" s="30"/>
      <c r="D81" s="30"/>
      <c r="E81" s="30"/>
      <c r="F81" s="30"/>
      <c r="G81" s="30"/>
      <c r="H81" s="30"/>
      <c r="I81" s="30"/>
      <c r="J81" s="30"/>
    </row>
    <row r="82" spans="1:12" ht="14.25" customHeight="1">
      <c r="A82" s="46" t="s">
        <v>76</v>
      </c>
      <c r="B82" s="57" t="s">
        <v>109</v>
      </c>
      <c r="C82" s="57"/>
      <c r="D82" s="57"/>
      <c r="E82" s="57"/>
      <c r="F82" s="57"/>
      <c r="G82" s="57"/>
      <c r="H82" s="57"/>
      <c r="I82" s="57"/>
      <c r="J82" s="57"/>
      <c r="K82" s="58"/>
      <c r="L82" s="58"/>
    </row>
    <row r="83" spans="1:10" ht="12.75">
      <c r="A83" s="29"/>
      <c r="B83" s="30"/>
      <c r="C83" s="30"/>
      <c r="D83" s="30"/>
      <c r="E83" s="30"/>
      <c r="F83" s="30"/>
      <c r="G83" s="30"/>
      <c r="H83" s="30"/>
      <c r="I83" s="30"/>
      <c r="J83" s="30"/>
    </row>
    <row r="84" spans="1:10" ht="12.75">
      <c r="A84" s="32">
        <v>2009</v>
      </c>
      <c r="B84" s="30"/>
      <c r="C84" s="30"/>
      <c r="D84" s="30"/>
      <c r="E84" s="30"/>
      <c r="F84" s="30"/>
      <c r="G84" s="30"/>
      <c r="H84" s="30"/>
      <c r="I84" s="30"/>
      <c r="J84" s="30"/>
    </row>
    <row r="85" spans="1:12" ht="35.25" customHeight="1">
      <c r="A85" s="46" t="s">
        <v>76</v>
      </c>
      <c r="B85" s="57" t="s">
        <v>105</v>
      </c>
      <c r="C85" s="57"/>
      <c r="D85" s="57"/>
      <c r="E85" s="57"/>
      <c r="F85" s="57"/>
      <c r="G85" s="57"/>
      <c r="H85" s="57"/>
      <c r="I85" s="57"/>
      <c r="J85" s="57"/>
      <c r="K85" s="58"/>
      <c r="L85" s="58"/>
    </row>
    <row r="86" spans="1:12" ht="24" customHeight="1">
      <c r="A86" s="46" t="s">
        <v>77</v>
      </c>
      <c r="B86" s="57" t="s">
        <v>106</v>
      </c>
      <c r="C86" s="57"/>
      <c r="D86" s="57"/>
      <c r="E86" s="57"/>
      <c r="F86" s="57"/>
      <c r="G86" s="57"/>
      <c r="H86" s="57"/>
      <c r="I86" s="57"/>
      <c r="J86" s="57"/>
      <c r="K86" s="58"/>
      <c r="L86" s="58"/>
    </row>
    <row r="87" spans="1:12" ht="12" customHeight="1">
      <c r="A87" s="46"/>
      <c r="B87" s="47"/>
      <c r="C87" s="47"/>
      <c r="D87" s="47"/>
      <c r="E87" s="47"/>
      <c r="F87" s="47"/>
      <c r="G87" s="47"/>
      <c r="H87" s="47"/>
      <c r="I87" s="47"/>
      <c r="J87" s="47"/>
      <c r="K87" s="48"/>
      <c r="L87" s="48"/>
    </row>
    <row r="88" spans="1:12" ht="13.5" customHeight="1">
      <c r="A88" s="32">
        <v>2010</v>
      </c>
      <c r="B88" s="47"/>
      <c r="C88" s="47"/>
      <c r="D88" s="47"/>
      <c r="E88" s="47"/>
      <c r="F88" s="47"/>
      <c r="G88" s="47"/>
      <c r="H88" s="47"/>
      <c r="I88" s="47"/>
      <c r="J88" s="47"/>
      <c r="K88" s="48"/>
      <c r="L88" s="48"/>
    </row>
    <row r="89" spans="1:12" ht="36.75" customHeight="1">
      <c r="A89" s="46" t="s">
        <v>76</v>
      </c>
      <c r="B89" s="57" t="s">
        <v>114</v>
      </c>
      <c r="C89" s="57"/>
      <c r="D89" s="57"/>
      <c r="E89" s="57"/>
      <c r="F89" s="57"/>
      <c r="G89" s="57"/>
      <c r="H89" s="57"/>
      <c r="I89" s="57"/>
      <c r="J89" s="57"/>
      <c r="K89" s="58"/>
      <c r="L89" s="58"/>
    </row>
    <row r="90" spans="1:12" ht="24.75" customHeight="1">
      <c r="A90" s="46"/>
      <c r="B90" s="57"/>
      <c r="C90" s="57"/>
      <c r="D90" s="57"/>
      <c r="E90" s="57"/>
      <c r="F90" s="57"/>
      <c r="G90" s="57"/>
      <c r="H90" s="57"/>
      <c r="I90" s="57"/>
      <c r="J90" s="57"/>
      <c r="K90" s="58"/>
      <c r="L90" s="58"/>
    </row>
    <row r="91" spans="1:12" ht="12.75">
      <c r="A91" s="32">
        <v>2011</v>
      </c>
      <c r="B91" s="47"/>
      <c r="C91" s="47"/>
      <c r="D91" s="47"/>
      <c r="E91" s="47"/>
      <c r="F91" s="47"/>
      <c r="G91" s="47"/>
      <c r="H91" s="47"/>
      <c r="I91" s="47"/>
      <c r="J91" s="47"/>
      <c r="K91" s="48"/>
      <c r="L91" s="48"/>
    </row>
    <row r="92" spans="1:12" ht="27" customHeight="1">
      <c r="A92" s="46" t="s">
        <v>76</v>
      </c>
      <c r="B92" s="57" t="s">
        <v>117</v>
      </c>
      <c r="C92" s="57"/>
      <c r="D92" s="57"/>
      <c r="E92" s="57"/>
      <c r="F92" s="57"/>
      <c r="G92" s="57"/>
      <c r="H92" s="57"/>
      <c r="I92" s="57"/>
      <c r="J92" s="57"/>
      <c r="K92" s="58"/>
      <c r="L92" s="58"/>
    </row>
    <row r="93" spans="1:12" ht="24.75" customHeight="1">
      <c r="A93" s="46" t="s">
        <v>77</v>
      </c>
      <c r="B93" s="57" t="s">
        <v>116</v>
      </c>
      <c r="C93" s="57"/>
      <c r="D93" s="57"/>
      <c r="E93" s="57"/>
      <c r="F93" s="57"/>
      <c r="G93" s="57"/>
      <c r="H93" s="57"/>
      <c r="I93" s="57"/>
      <c r="J93" s="57"/>
      <c r="K93" s="58"/>
      <c r="L93" s="58"/>
    </row>
    <row r="94" spans="2:10" ht="12" customHeight="1">
      <c r="B94" s="30"/>
      <c r="C94" s="30"/>
      <c r="D94" s="30"/>
      <c r="E94" s="30"/>
      <c r="F94" s="30"/>
      <c r="G94" s="30"/>
      <c r="H94" s="30"/>
      <c r="I94" s="30"/>
      <c r="J94" s="30"/>
    </row>
    <row r="95" spans="1:10" ht="12.75">
      <c r="A95" s="32">
        <v>2012</v>
      </c>
      <c r="B95" s="30"/>
      <c r="C95" s="30"/>
      <c r="D95" s="30"/>
      <c r="E95" s="30"/>
      <c r="F95" s="30"/>
      <c r="G95" s="30"/>
      <c r="H95" s="30"/>
      <c r="I95" s="30"/>
      <c r="J95" s="30"/>
    </row>
    <row r="96" spans="1:12" ht="24.75" customHeight="1">
      <c r="A96" s="46" t="s">
        <v>76</v>
      </c>
      <c r="B96" s="57" t="s">
        <v>120</v>
      </c>
      <c r="C96" s="57"/>
      <c r="D96" s="57"/>
      <c r="E96" s="57"/>
      <c r="F96" s="57"/>
      <c r="G96" s="57"/>
      <c r="H96" s="57"/>
      <c r="I96" s="57"/>
      <c r="J96" s="57"/>
      <c r="K96" s="58"/>
      <c r="L96" s="58"/>
    </row>
    <row r="97" spans="1:12" ht="24.75" customHeight="1">
      <c r="A97" s="46" t="s">
        <v>77</v>
      </c>
      <c r="B97" s="57" t="s">
        <v>125</v>
      </c>
      <c r="C97" s="57"/>
      <c r="D97" s="57"/>
      <c r="E97" s="57"/>
      <c r="F97" s="57"/>
      <c r="G97" s="57"/>
      <c r="H97" s="57"/>
      <c r="I97" s="57"/>
      <c r="J97" s="57"/>
      <c r="K97" s="58"/>
      <c r="L97" s="58"/>
    </row>
    <row r="98" spans="1:12" ht="24" customHeight="1">
      <c r="A98" s="46" t="s">
        <v>78</v>
      </c>
      <c r="B98" s="57" t="s">
        <v>116</v>
      </c>
      <c r="C98" s="57"/>
      <c r="D98" s="57"/>
      <c r="E98" s="57"/>
      <c r="F98" s="57"/>
      <c r="G98" s="57"/>
      <c r="H98" s="57"/>
      <c r="I98" s="57"/>
      <c r="J98" s="57"/>
      <c r="K98" s="58"/>
      <c r="L98" s="58"/>
    </row>
    <row r="99" spans="1:10" ht="12.75">
      <c r="A99" s="29"/>
      <c r="B99" s="30"/>
      <c r="C99" s="30"/>
      <c r="D99" s="30"/>
      <c r="E99" s="30"/>
      <c r="F99" s="30"/>
      <c r="G99" s="30"/>
      <c r="H99" s="30"/>
      <c r="I99" s="30"/>
      <c r="J99" s="30"/>
    </row>
    <row r="100" spans="1:10" ht="12.75">
      <c r="A100" s="32">
        <v>2013</v>
      </c>
      <c r="B100" s="30"/>
      <c r="C100" s="30"/>
      <c r="D100" s="30"/>
      <c r="E100" s="30"/>
      <c r="F100" s="30"/>
      <c r="G100" s="30"/>
      <c r="H100" s="30"/>
      <c r="I100" s="30"/>
      <c r="J100" s="30"/>
    </row>
    <row r="101" spans="1:12" ht="39" customHeight="1">
      <c r="A101" s="46" t="s">
        <v>76</v>
      </c>
      <c r="B101" s="57" t="s">
        <v>126</v>
      </c>
      <c r="C101" s="57"/>
      <c r="D101" s="57"/>
      <c r="E101" s="57"/>
      <c r="F101" s="57"/>
      <c r="G101" s="57"/>
      <c r="H101" s="57"/>
      <c r="I101" s="57"/>
      <c r="J101" s="57"/>
      <c r="K101" s="58"/>
      <c r="L101" s="58"/>
    </row>
    <row r="102" spans="1:12" ht="29.25" customHeight="1">
      <c r="A102" s="46" t="s">
        <v>77</v>
      </c>
      <c r="B102" s="57" t="s">
        <v>124</v>
      </c>
      <c r="C102" s="57"/>
      <c r="D102" s="57"/>
      <c r="E102" s="57"/>
      <c r="F102" s="57"/>
      <c r="G102" s="57"/>
      <c r="H102" s="57"/>
      <c r="I102" s="57"/>
      <c r="J102" s="57"/>
      <c r="K102" s="58"/>
      <c r="L102" s="58"/>
    </row>
    <row r="103" spans="1:12" ht="27.75" customHeight="1">
      <c r="A103" s="46" t="s">
        <v>78</v>
      </c>
      <c r="B103" s="57" t="s">
        <v>116</v>
      </c>
      <c r="C103" s="57"/>
      <c r="D103" s="57"/>
      <c r="E103" s="57"/>
      <c r="F103" s="57"/>
      <c r="G103" s="57"/>
      <c r="H103" s="57"/>
      <c r="I103" s="57"/>
      <c r="J103" s="57"/>
      <c r="K103" s="58"/>
      <c r="L103" s="58"/>
    </row>
    <row r="104" ht="24.75" customHeight="1">
      <c r="A104" s="2"/>
    </row>
  </sheetData>
  <sheetProtection/>
  <mergeCells count="45">
    <mergeCell ref="B96:L96"/>
    <mergeCell ref="B57:L57"/>
    <mergeCell ref="B58:L58"/>
    <mergeCell ref="B89:L89"/>
    <mergeCell ref="B66:L66"/>
    <mergeCell ref="B90:L90"/>
    <mergeCell ref="B92:L92"/>
    <mergeCell ref="B93:L93"/>
    <mergeCell ref="B62:L62"/>
    <mergeCell ref="B86:L86"/>
    <mergeCell ref="B35:L35"/>
    <mergeCell ref="B45:L45"/>
    <mergeCell ref="B43:L43"/>
    <mergeCell ref="B39:L39"/>
    <mergeCell ref="B40:L40"/>
    <mergeCell ref="B56:L56"/>
    <mergeCell ref="B51:L51"/>
    <mergeCell ref="B23:L23"/>
    <mergeCell ref="B26:L26"/>
    <mergeCell ref="B53:L53"/>
    <mergeCell ref="B98:L98"/>
    <mergeCell ref="B44:L44"/>
    <mergeCell ref="B52:L52"/>
    <mergeCell ref="B63:L63"/>
    <mergeCell ref="B71:L71"/>
    <mergeCell ref="B75:L75"/>
    <mergeCell ref="B82:L82"/>
    <mergeCell ref="B72:L72"/>
    <mergeCell ref="B85:L85"/>
    <mergeCell ref="B101:L101"/>
    <mergeCell ref="B10:L10"/>
    <mergeCell ref="B13:L13"/>
    <mergeCell ref="B16:L16"/>
    <mergeCell ref="B19:L19"/>
    <mergeCell ref="B38:L38"/>
    <mergeCell ref="B103:L103"/>
    <mergeCell ref="B102:L102"/>
    <mergeCell ref="B97:L97"/>
    <mergeCell ref="B20:L20"/>
    <mergeCell ref="B68:L68"/>
    <mergeCell ref="B59:L59"/>
    <mergeCell ref="B29:L29"/>
    <mergeCell ref="B32:L32"/>
    <mergeCell ref="B48:L48"/>
    <mergeCell ref="B67:L67"/>
  </mergeCells>
  <printOptions/>
  <pageMargins left="0.75" right="0.75" top="1" bottom="1" header="0.5" footer="0.5"/>
  <pageSetup fitToHeight="3" horizontalDpi="600" verticalDpi="600" orientation="portrait" scale="78" r:id="rId1"/>
  <rowBreaks count="2" manualBreakCount="2">
    <brk id="48" max="13" man="1"/>
    <brk id="8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ckim</dc:creator>
  <cp:keywords/>
  <dc:description/>
  <cp:lastModifiedBy>Windows User</cp:lastModifiedBy>
  <cp:lastPrinted>2015-03-31T15:57:29Z</cp:lastPrinted>
  <dcterms:created xsi:type="dcterms:W3CDTF">2004-12-29T15:34:11Z</dcterms:created>
  <dcterms:modified xsi:type="dcterms:W3CDTF">2015-03-31T15:58:26Z</dcterms:modified>
  <cp:category/>
  <cp:version/>
  <cp:contentType/>
  <cp:contentStatus/>
</cp:coreProperties>
</file>